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mc:AlternateContent xmlns:mc="http://schemas.openxmlformats.org/markup-compatibility/2006">
    <mc:Choice Requires="x15">
      <x15ac:absPath xmlns:x15ac="http://schemas.microsoft.com/office/spreadsheetml/2010/11/ac" url="\\192.168.39.10\tp\TP2\Onlineportal\01 Antragstellung\02 Downloads\01_Muster FP\"/>
    </mc:Choice>
  </mc:AlternateContent>
  <xr:revisionPtr revIDLastSave="0" documentId="13_ncr:1_{7D304F7D-68AA-4EB4-A964-ED9CF30DCB3B}" xr6:coauthVersionLast="47" xr6:coauthVersionMax="47" xr10:uidLastSave="{00000000-0000-0000-0000-000000000000}"/>
  <bookViews>
    <workbookView xWindow="-108" yWindow="-108" windowWidth="23256" windowHeight="13896" xr2:uid="{00000000-000D-0000-FFFF-FFFF00000000}"/>
  </bookViews>
  <sheets>
    <sheet name="Finanzierungsplan" sheetId="11" r:id="rId1"/>
    <sheet name="Rechner Honoraruntergrenze" sheetId="15" r:id="rId2"/>
    <sheet name="x" sheetId="14" r:id="rId3"/>
  </sheets>
  <definedNames>
    <definedName name="_xlnm.Print_Area" localSheetId="0">Finanzierungsplan!$B$1:$G$87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1" l="1"/>
  <c r="H62" i="11"/>
  <c r="G62" i="11"/>
  <c r="E15" i="11" l="1"/>
  <c r="E13" i="11"/>
  <c r="E10" i="11"/>
  <c r="E9" i="11"/>
  <c r="E22" i="11"/>
  <c r="E21" i="11"/>
  <c r="F37" i="11"/>
  <c r="K38" i="11" l="1"/>
  <c r="F62" i="11"/>
  <c r="E32" i="11"/>
  <c r="E34" i="11" s="1"/>
  <c r="E51" i="11"/>
  <c r="F44" i="11"/>
  <c r="G44" i="11"/>
  <c r="H44" i="11"/>
  <c r="I44" i="11"/>
  <c r="J44" i="11"/>
  <c r="E44" i="11"/>
  <c r="I40" i="11"/>
  <c r="J40" i="11"/>
  <c r="I34" i="11"/>
  <c r="J34" i="11"/>
  <c r="I27" i="11"/>
  <c r="J27" i="11"/>
  <c r="J19" i="11"/>
  <c r="I19" i="11"/>
  <c r="E25" i="11"/>
  <c r="I49" i="11"/>
  <c r="I51" i="11" s="1"/>
  <c r="J49" i="11"/>
  <c r="J51" i="11" s="1"/>
  <c r="K62" i="11" l="1"/>
  <c r="H25" i="11" l="1"/>
  <c r="G25" i="11"/>
  <c r="F25" i="11"/>
  <c r="K25" i="11" l="1"/>
  <c r="K24" i="11"/>
  <c r="H16" i="11"/>
  <c r="G16" i="11"/>
  <c r="F16" i="11"/>
  <c r="K16" i="11" s="1"/>
  <c r="H31" i="11"/>
  <c r="G31" i="11"/>
  <c r="F31" i="11"/>
  <c r="K58" i="11"/>
  <c r="G47" i="11" l="1"/>
  <c r="H47" i="11"/>
  <c r="F47" i="11"/>
  <c r="H48" i="11"/>
  <c r="G48" i="11"/>
  <c r="G46" i="11"/>
  <c r="H46" i="11"/>
  <c r="F46" i="11"/>
  <c r="H36" i="11"/>
  <c r="G36" i="11"/>
  <c r="F36" i="11"/>
  <c r="F40" i="11" s="1"/>
  <c r="H37" i="11"/>
  <c r="E40" i="11"/>
  <c r="G32" i="11"/>
  <c r="H32" i="11"/>
  <c r="F32" i="11"/>
  <c r="H30" i="11"/>
  <c r="G30" i="11"/>
  <c r="F30" i="11"/>
  <c r="H29" i="11"/>
  <c r="G29" i="11"/>
  <c r="G34" i="11" s="1"/>
  <c r="F29" i="11"/>
  <c r="F34" i="11" s="1"/>
  <c r="H22" i="11"/>
  <c r="G22" i="11"/>
  <c r="F22" i="11"/>
  <c r="H21" i="11"/>
  <c r="G21" i="11"/>
  <c r="G27" i="11" s="1"/>
  <c r="F21" i="11"/>
  <c r="F27" i="11" s="1"/>
  <c r="E17" i="11"/>
  <c r="H15" i="11"/>
  <c r="G15" i="11"/>
  <c r="F15" i="11"/>
  <c r="G14" i="11"/>
  <c r="H14" i="11"/>
  <c r="F14" i="11"/>
  <c r="H13" i="11"/>
  <c r="G13" i="11"/>
  <c r="F13" i="11"/>
  <c r="H12" i="11"/>
  <c r="G12" i="11"/>
  <c r="F12" i="11"/>
  <c r="H11" i="11"/>
  <c r="G11" i="11"/>
  <c r="F11" i="11"/>
  <c r="F17" i="11" s="1"/>
  <c r="H9" i="11"/>
  <c r="G9" i="11"/>
  <c r="F9" i="11"/>
  <c r="H10" i="11"/>
  <c r="G10" i="11"/>
  <c r="F10" i="11"/>
  <c r="E23" i="15"/>
  <c r="E22" i="15"/>
  <c r="E21" i="15"/>
  <c r="E20" i="15"/>
  <c r="E19" i="15"/>
  <c r="E10" i="15"/>
  <c r="E9" i="15"/>
  <c r="E8" i="15"/>
  <c r="E7" i="15"/>
  <c r="E6" i="15"/>
  <c r="J60" i="11"/>
  <c r="I60" i="11"/>
  <c r="E60" i="11"/>
  <c r="J64" i="11"/>
  <c r="F64" i="11"/>
  <c r="E64" i="11"/>
  <c r="F70" i="11"/>
  <c r="G70" i="11"/>
  <c r="H70" i="11"/>
  <c r="I70" i="11"/>
  <c r="J70" i="11"/>
  <c r="E70" i="11"/>
  <c r="J68" i="11"/>
  <c r="F68" i="11"/>
  <c r="G68" i="11"/>
  <c r="H68" i="11"/>
  <c r="I68" i="11"/>
  <c r="E68" i="11"/>
  <c r="K69" i="11"/>
  <c r="K66" i="11"/>
  <c r="I64" i="11"/>
  <c r="H64" i="11"/>
  <c r="G64" i="11"/>
  <c r="H60" i="11"/>
  <c r="G60" i="11"/>
  <c r="F60" i="11"/>
  <c r="K57" i="11"/>
  <c r="K56" i="11"/>
  <c r="K42" i="11"/>
  <c r="K44" i="11" s="1"/>
  <c r="K23" i="11"/>
  <c r="E19" i="11" l="1"/>
  <c r="H27" i="11"/>
  <c r="H49" i="11"/>
  <c r="H51" i="11" s="1"/>
  <c r="H34" i="11"/>
  <c r="G40" i="11"/>
  <c r="H40" i="11"/>
  <c r="E27" i="11"/>
  <c r="F71" i="11"/>
  <c r="K70" i="11"/>
  <c r="K82" i="11" s="1"/>
  <c r="F49" i="11"/>
  <c r="F51" i="11" s="1"/>
  <c r="G49" i="11"/>
  <c r="G51" i="11" s="1"/>
  <c r="K36" i="11"/>
  <c r="K48" i="11"/>
  <c r="F19" i="11"/>
  <c r="K46" i="11"/>
  <c r="K47" i="11"/>
  <c r="K29" i="11"/>
  <c r="K32" i="11"/>
  <c r="K30" i="11"/>
  <c r="K14" i="11"/>
  <c r="H17" i="11"/>
  <c r="H19" i="11" s="1"/>
  <c r="K37" i="11"/>
  <c r="G17" i="11"/>
  <c r="G19" i="11" s="1"/>
  <c r="K15" i="11"/>
  <c r="K22" i="11"/>
  <c r="K31" i="11"/>
  <c r="K21" i="11"/>
  <c r="K12" i="11"/>
  <c r="K11" i="11"/>
  <c r="K13" i="11"/>
  <c r="K10" i="11"/>
  <c r="K9" i="11"/>
  <c r="E25" i="15"/>
  <c r="E12" i="15"/>
  <c r="K64" i="11"/>
  <c r="K68" i="11"/>
  <c r="K60" i="11"/>
  <c r="G71" i="11"/>
  <c r="I71" i="11"/>
  <c r="J71" i="11"/>
  <c r="E71" i="11"/>
  <c r="H71" i="11"/>
  <c r="J52" i="11"/>
  <c r="I52" i="11"/>
  <c r="K27" i="11" l="1"/>
  <c r="K17" i="11"/>
  <c r="K49" i="11"/>
  <c r="K51" i="11" s="1"/>
  <c r="K34" i="11"/>
  <c r="K40" i="11"/>
  <c r="E52" i="11"/>
  <c r="E80" i="11" s="1"/>
  <c r="K19" i="11"/>
  <c r="G52" i="11"/>
  <c r="G80" i="11" s="1"/>
  <c r="F52" i="11"/>
  <c r="F80" i="11" s="1"/>
  <c r="H52" i="11"/>
  <c r="H80" i="11" s="1"/>
  <c r="J80" i="11"/>
  <c r="I80" i="11"/>
  <c r="K71" i="11"/>
  <c r="K52" i="11" l="1"/>
  <c r="K80" i="11" s="1"/>
</calcChain>
</file>

<file path=xl/sharedStrings.xml><?xml version="1.0" encoding="utf-8"?>
<sst xmlns="http://schemas.openxmlformats.org/spreadsheetml/2006/main" count="213" uniqueCount="169">
  <si>
    <t>3.1.</t>
  </si>
  <si>
    <t>3.2.</t>
  </si>
  <si>
    <t>3.3.</t>
  </si>
  <si>
    <t>Erläuterungen</t>
  </si>
  <si>
    <t>Position</t>
  </si>
  <si>
    <t>4.2.</t>
  </si>
  <si>
    <t>5.1.</t>
  </si>
  <si>
    <t>Gesamtsumme der Ausgaben</t>
  </si>
  <si>
    <t>Zwischensumme Hauptposition 1:</t>
  </si>
  <si>
    <t>Stand:</t>
  </si>
  <si>
    <t>1.</t>
  </si>
  <si>
    <t>Zwischensumme Hauptposition 2:</t>
  </si>
  <si>
    <t>Zwischensumme Hauptposition 3:</t>
  </si>
  <si>
    <t>Zwischensumme Hauptposition 4:</t>
  </si>
  <si>
    <t>Zwischensumme Hauptposition 5:</t>
  </si>
  <si>
    <t>Ausgaben</t>
  </si>
  <si>
    <t>1.1.</t>
  </si>
  <si>
    <t>1.2.</t>
  </si>
  <si>
    <t>1.3.</t>
  </si>
  <si>
    <t>Name</t>
  </si>
  <si>
    <t>Finanzierungsplan</t>
  </si>
  <si>
    <r>
      <t xml:space="preserve">TANZPAKT </t>
    </r>
    <r>
      <rPr>
        <sz val="18"/>
        <rFont val="Arial"/>
        <family val="2"/>
      </rPr>
      <t>Stadt-Land-Bund</t>
    </r>
  </si>
  <si>
    <t>Projektlaufzeit:</t>
  </si>
  <si>
    <t>Brutto EUR</t>
  </si>
  <si>
    <t>Netto EUR</t>
  </si>
  <si>
    <t>Netto / Brutto:</t>
  </si>
  <si>
    <t>I.</t>
  </si>
  <si>
    <t>2.</t>
  </si>
  <si>
    <t>2.1.</t>
  </si>
  <si>
    <t>2.2.</t>
  </si>
  <si>
    <t>2.3.</t>
  </si>
  <si>
    <t>3.</t>
  </si>
  <si>
    <t>4.</t>
  </si>
  <si>
    <t>4.1.</t>
  </si>
  <si>
    <t>Sachausgaben</t>
  </si>
  <si>
    <t>Reisen und Transporte</t>
  </si>
  <si>
    <t>5.</t>
  </si>
  <si>
    <t>6.</t>
  </si>
  <si>
    <t>Zwischensumme Hauptposition 6:</t>
  </si>
  <si>
    <t>Fahrtkosten</t>
  </si>
  <si>
    <t>Tagegelder</t>
  </si>
  <si>
    <t>Übernachtungskosten</t>
  </si>
  <si>
    <t>3.4.</t>
  </si>
  <si>
    <t>Transporte</t>
  </si>
  <si>
    <t>6.1.</t>
  </si>
  <si>
    <t>6.2.</t>
  </si>
  <si>
    <t>6.3.</t>
  </si>
  <si>
    <t>II.</t>
  </si>
  <si>
    <t>Einnahmen</t>
  </si>
  <si>
    <t xml:space="preserve">4. </t>
  </si>
  <si>
    <t>EUR</t>
  </si>
  <si>
    <t xml:space="preserve"> </t>
  </si>
  <si>
    <t>Gesamtsumme der Einnahmen</t>
  </si>
  <si>
    <t>Antragsteller:in:</t>
  </si>
  <si>
    <t>Hilfestellungen zum Rechner</t>
  </si>
  <si>
    <t>https://darstellende-kuenste.de/themen/soziale-lage#anchor-1376</t>
  </si>
  <si>
    <t>Anzahl</t>
  </si>
  <si>
    <t>Dauer</t>
  </si>
  <si>
    <t>Je Dauer in €</t>
  </si>
  <si>
    <t>Gesamt</t>
  </si>
  <si>
    <t>Stunde(n)</t>
  </si>
  <si>
    <t>Bitte beachten Sie:</t>
  </si>
  <si>
    <t>Tag(e)</t>
  </si>
  <si>
    <t>Woche(n)</t>
  </si>
  <si>
    <t>Monat(e)</t>
  </si>
  <si>
    <t>Aufführung(en)</t>
  </si>
  <si>
    <t>(berechnet entsprechend der Angaben)</t>
  </si>
  <si>
    <r>
      <t>Berechnung für KSK-Versicherte (</t>
    </r>
    <r>
      <rPr>
        <b/>
        <sz val="10"/>
        <color rgb="FFFF0000"/>
        <rFont val="Arial"/>
        <family val="2"/>
      </rPr>
      <t>Netto</t>
    </r>
    <r>
      <rPr>
        <b/>
        <sz val="10"/>
        <rFont val="Arial"/>
        <family val="2"/>
      </rPr>
      <t>honorar)</t>
    </r>
  </si>
  <si>
    <r>
      <t>Berechnung für Nicht-KSK-Versicherte (</t>
    </r>
    <r>
      <rPr>
        <b/>
        <sz val="10"/>
        <color rgb="FFFF0000"/>
        <rFont val="Arial"/>
        <family val="2"/>
      </rPr>
      <t>Netto</t>
    </r>
    <r>
      <rPr>
        <b/>
        <sz val="10"/>
        <rFont val="Arial"/>
        <family val="2"/>
      </rPr>
      <t>honorar)</t>
    </r>
  </si>
  <si>
    <t>https://www.kulturrat.de/themen/honoraruntergrenzen/honorarempfehlungen/</t>
  </si>
  <si>
    <t xml:space="preserve">Rechner: </t>
  </si>
  <si>
    <t>Honoraruntergrenze - Darstellende Kunst</t>
  </si>
  <si>
    <r>
      <rPr>
        <b/>
        <sz val="8"/>
        <rFont val="Arial"/>
        <family val="2"/>
      </rPr>
      <t>Darstellende Kunst:</t>
    </r>
    <r>
      <rPr>
        <sz val="8"/>
        <rFont val="Arial"/>
        <family val="2"/>
      </rPr>
      <t xml:space="preserve">
Mit dem nebenstehenden Rechner können Sie überprüfen, ob Ihre kalkulierten Honorare über der Honoraruntergrenzen-Empfehlung des BFDK liegt. Informationen zur Honoraruntergrenze finden Sie beim BFDK:</t>
    </r>
  </si>
  <si>
    <r>
      <t xml:space="preserve">Honorare und Gehälter </t>
    </r>
    <r>
      <rPr>
        <b/>
        <sz val="11"/>
        <color rgb="FFDD0806"/>
        <rFont val="Arial"/>
        <family val="2"/>
      </rPr>
      <t>*</t>
    </r>
  </si>
  <si>
    <r>
      <t xml:space="preserve">Förderung durch TANZPAKT Stadt-Land-Bund </t>
    </r>
    <r>
      <rPr>
        <b/>
        <sz val="11"/>
        <color rgb="FFDD0806"/>
        <rFont val="Arial"/>
        <family val="2"/>
      </rPr>
      <t>**</t>
    </r>
  </si>
  <si>
    <t>Presse- und Öffentlichkeitsarbeit</t>
  </si>
  <si>
    <t>Investive Maßnahmen (Anschaffungen über 800€)</t>
  </si>
  <si>
    <t>Maßnahmen für den Abbau von Barrieren</t>
  </si>
  <si>
    <t>Eigenmittel</t>
  </si>
  <si>
    <t>Projektleitung</t>
  </si>
  <si>
    <t>Tanja Tanzpakt</t>
  </si>
  <si>
    <t>Der Pakt mit dem Tanz</t>
  </si>
  <si>
    <t>Koordination</t>
  </si>
  <si>
    <t>Trudi Pakttanz</t>
  </si>
  <si>
    <t>N.N.</t>
  </si>
  <si>
    <t>1.4.</t>
  </si>
  <si>
    <t>1.5.</t>
  </si>
  <si>
    <t>1.6.</t>
  </si>
  <si>
    <t>Finanzmanagement</t>
  </si>
  <si>
    <t>Dagobert Duck</t>
  </si>
  <si>
    <t>1.7.</t>
  </si>
  <si>
    <t>KSK</t>
  </si>
  <si>
    <t>Berechn.grundlage 2025: 5%</t>
  </si>
  <si>
    <t>FiPo 1.3. + 1.6.</t>
  </si>
  <si>
    <t>Raummieten</t>
  </si>
  <si>
    <t>1.8.</t>
  </si>
  <si>
    <t>1.9.</t>
  </si>
  <si>
    <t>Technik</t>
  </si>
  <si>
    <t>technisches Material (Miete)</t>
  </si>
  <si>
    <t>10 P x 30 Tage x 14 proTag (je Reise 2 halbe Tage Aufenthalt)</t>
  </si>
  <si>
    <t>Website</t>
  </si>
  <si>
    <t>Flyer</t>
  </si>
  <si>
    <t>Anschaffungen Technik (Kauf)</t>
  </si>
  <si>
    <t>Gebärdendolmetscher</t>
  </si>
  <si>
    <t>Übersetzungen</t>
  </si>
  <si>
    <t>Access</t>
  </si>
  <si>
    <t>Sächsische Staatsministerium für Wissenschaft, Kultur und Tourismus</t>
  </si>
  <si>
    <t xml:space="preserve">Stadt Leipzig – Kulturamt </t>
  </si>
  <si>
    <t>30 Einsätze x 2 Personen x 1.000€</t>
  </si>
  <si>
    <t>Ticketeinnahmen</t>
  </si>
  <si>
    <t>eigenes Barvermögen</t>
  </si>
  <si>
    <t>10 P x 15 ÜN x 70€ pro Nacht (je 1 Übernachtung pro Reise)</t>
  </si>
  <si>
    <t>Licht, Audio, Video, digital Tools</t>
  </si>
  <si>
    <t>2.4.</t>
  </si>
  <si>
    <t>Ausstattung</t>
  </si>
  <si>
    <t>2.5.</t>
  </si>
  <si>
    <t>Betriebskosten</t>
  </si>
  <si>
    <t>Bürobedarf</t>
  </si>
  <si>
    <t>6.4.</t>
  </si>
  <si>
    <t>zu FiPo 6.1 + 6.2. (Berechn.grundlage 2025: 5%)</t>
  </si>
  <si>
    <t>20 Transporte x 50€ pro Transport</t>
  </si>
  <si>
    <t>4.3.</t>
  </si>
  <si>
    <t>Schlussevaluation</t>
  </si>
  <si>
    <t>Mindesthonorar netto KSK- Versichert</t>
  </si>
  <si>
    <t>Mindesthonorar netto Nicht-KSK- Versichert</t>
  </si>
  <si>
    <t>Betrag ggf. zzgl. USt.</t>
  </si>
  <si>
    <t>Netto/ Brutto:</t>
  </si>
  <si>
    <t>Performer:innen</t>
  </si>
  <si>
    <t>Honorare - 6 Pers. je 6 Wochen (800€/ W)</t>
  </si>
  <si>
    <t>Refernet:innen/ Workshopleiter:innen</t>
  </si>
  <si>
    <t>Honorare - 30 Pers. (350€/ Einsatz)</t>
  </si>
  <si>
    <t>Gehalt - 2025: 5h/ Woche (AG-brutto 625€/ M) &amp; 2026-28:15h/ Woche (AG-brutto 1.875€ /M)</t>
  </si>
  <si>
    <t>Kommunikation (PR/ ÖA)</t>
  </si>
  <si>
    <t>Honorar - ab Juli 2026 ca. 15h/ Woche (1.875€/ M)</t>
  </si>
  <si>
    <t>Steuer-/ Rechtsberatung/ Personalbüro</t>
  </si>
  <si>
    <t xml:space="preserve"> Honorar - 2 Techniker:innen 30 Monate 15St./ Woche (Grundlage rnd. 35€ zzgl. 19% MwSt./ Stunde)</t>
  </si>
  <si>
    <t>Büro/ Proberaum: Internet, Reinigung, Müll, Umzug, Lager etc.</t>
  </si>
  <si>
    <t>2-monatl. Insges. 15 M. (Mai 2026- Sept 2028) x ca. 2.000 Stck. x 250€</t>
  </si>
  <si>
    <t>in Leichte Sprache: ca. 20 Texte/ Jahr ab 2026 x 500€</t>
  </si>
  <si>
    <t>Gesicherte Landesmittel</t>
  </si>
  <si>
    <t>Gesicherte kommunale Mittel</t>
  </si>
  <si>
    <t>Gesicherte Drittmittel weiterer Förderer</t>
  </si>
  <si>
    <t>Ungesicherte Drittmittel (Eintritte, Publikationen etc.)</t>
  </si>
  <si>
    <r>
      <t xml:space="preserve">** Das Volumen der beantragten TANZPAKT-Fördersumme für neue Vorhaben muss in der Regel </t>
    </r>
    <r>
      <rPr>
        <b/>
        <sz val="10"/>
        <color rgb="FFDD0806"/>
        <rFont val="Arial"/>
        <family val="2"/>
      </rPr>
      <t>mindestens 90.000 Euro</t>
    </r>
    <r>
      <rPr>
        <sz val="10"/>
        <color rgb="FFDD0806"/>
        <rFont val="Arial"/>
        <family val="2"/>
      </rPr>
      <t xml:space="preserve"> betragen und darf eine </t>
    </r>
    <r>
      <rPr>
        <b/>
        <sz val="10"/>
        <color rgb="FFDD0806"/>
        <rFont val="Arial"/>
        <family val="2"/>
      </rPr>
      <t>Höchstsumme von 600.000 Euro</t>
    </r>
    <r>
      <rPr>
        <sz val="10"/>
        <color rgb="FFDD0806"/>
        <rFont val="Arial"/>
        <family val="2"/>
      </rPr>
      <t xml:space="preserve"> nicht übersteigen. 
Für bereits im Rahmen von TANZPAKT Stadt-Land-Bund geförderte Projekte gilt grundsätzlich eine </t>
    </r>
    <r>
      <rPr>
        <b/>
        <sz val="10"/>
        <color rgb="FFDD0806"/>
        <rFont val="Arial"/>
        <family val="2"/>
      </rPr>
      <t>Höchstsumme von 300.000 Euro</t>
    </r>
    <r>
      <rPr>
        <sz val="10"/>
        <color rgb="FFDD0806"/>
        <rFont val="Arial"/>
        <family val="2"/>
      </rPr>
      <t xml:space="preserve">. 
Bitte beachten Sie bei der Erstellung Ihres Finanzierungsplans, dass die bei TANZPAKT beantragte Fördersumme zu </t>
    </r>
    <r>
      <rPr>
        <b/>
        <sz val="10"/>
        <color rgb="FFDD0806"/>
        <rFont val="Arial"/>
        <family val="2"/>
      </rPr>
      <t xml:space="preserve">gleichen Teilen auf die einzelnen Jahre </t>
    </r>
    <r>
      <rPr>
        <sz val="10"/>
        <color rgb="FFDD0806"/>
        <rFont val="Arial"/>
        <family val="2"/>
      </rPr>
      <t>der Projektlaufzeit verteilt werden muss. Sollte Ihr Projekt im Laufe eines Jahres beginnen/ enden, dann entsprechend anteilig (Anzahl Monate). Im Projektverlauf ggf. nicht angeforderte TANZPAKT-Fördermittel können später in das jeweils folgende Jahr übertragen werden.</t>
    </r>
  </si>
  <si>
    <t>Differenz Einnahmen/ Ausgaben:</t>
  </si>
  <si>
    <r>
      <rPr>
        <b/>
        <sz val="10"/>
        <rFont val="Arial"/>
        <family val="2"/>
      </rPr>
      <t>ACHTUNG</t>
    </r>
    <r>
      <rPr>
        <sz val="10"/>
        <rFont val="Arial"/>
        <family val="2"/>
      </rPr>
      <t>: Die Summe der Ausgaben und Einnahmen muss immer identisch (ausgeglichen) sein, d. h. die Differenz muss Null ergeben; grün=OK/ rot=FEHLER)</t>
    </r>
  </si>
  <si>
    <r>
      <t xml:space="preserve">Die Berechnung ergibt </t>
    </r>
    <r>
      <rPr>
        <b/>
        <u/>
        <sz val="8"/>
        <rFont val="Arial"/>
        <family val="2"/>
      </rPr>
      <t>Netto</t>
    </r>
    <r>
      <rPr>
        <u/>
        <sz val="8"/>
        <rFont val="Arial"/>
        <family val="2"/>
      </rPr>
      <t>honorare</t>
    </r>
    <r>
      <rPr>
        <sz val="8"/>
        <rFont val="Arial"/>
        <family val="2"/>
      </rPr>
      <t>. Ggf. müssen die im Finanzierungsplan kalkulierten Honorare die Umsatzsteuer berücksichtigen und wären höher als hier berechnet.</t>
    </r>
  </si>
  <si>
    <r>
      <t xml:space="preserve">Die Berechnung ergibt </t>
    </r>
    <r>
      <rPr>
        <b/>
        <u/>
        <sz val="8"/>
        <rFont val="Arial"/>
        <family val="2"/>
      </rPr>
      <t>Mindest</t>
    </r>
    <r>
      <rPr>
        <u/>
        <sz val="8"/>
        <rFont val="Arial"/>
        <family val="2"/>
      </rPr>
      <t>honorare</t>
    </r>
    <r>
      <rPr>
        <sz val="8"/>
        <rFont val="Arial"/>
        <family val="2"/>
      </rPr>
      <t>, d. h. Sie können höhere Sätze kalkulieren. Bitte geben Sie in jedem Fall eine nachvollziehbare Berechnungsgrundlage in Spalte D des Finanzierungplans an.</t>
    </r>
  </si>
  <si>
    <t>Die Honoraruntergrenze ist anzuwenden auf Honorare für: Freischaffende/ Selbstständige, die professionell und erwerbsmäßig künstlerische/ kreative Tätigkeiten erbringen.</t>
  </si>
  <si>
    <r>
      <t xml:space="preserve">Die Gesamtsumme der gesicherten Ko-Finanzierung muss grundsätzlich mindestens genauso hoch sein (50% oder mehr) wie die bei TANZPAKT beantragte Fördersumme. 
</t>
    </r>
    <r>
      <rPr>
        <b/>
        <sz val="10"/>
        <rFont val="Arial"/>
        <family val="2"/>
      </rPr>
      <t>Eigen- und ungesicherte Drittmittel wie z. B. Eintrittseinnahmen können NICHT zur Berechnung des Ko-Finanzierungsanteils herangezogen werden.</t>
    </r>
  </si>
  <si>
    <t>Anteil 
gesicherte Ko-Finanzierung:</t>
  </si>
  <si>
    <t>Gesicherte Ko-Finanzierungsmittel</t>
  </si>
  <si>
    <r>
      <t>Automatische Überprüfung Ihrer Kalkulation</t>
    </r>
    <r>
      <rPr>
        <sz val="9"/>
        <rFont val="Arial"/>
        <family val="2"/>
      </rPr>
      <t xml:space="preserve"> </t>
    </r>
    <r>
      <rPr>
        <sz val="9"/>
        <color rgb="FFDD0806"/>
        <rFont val="Arial"/>
        <family val="2"/>
      </rPr>
      <t>(bitte keine Eintragungen vornehmen)</t>
    </r>
  </si>
  <si>
    <t>Gesamt-
summe</t>
  </si>
  <si>
    <t>Telefon, Porto, Drucker, Büromaterial etc.: im Durschnitt 50€/ Monat x 36 Monate</t>
  </si>
  <si>
    <t>Gehalt - 20h/ Woche (AG-brutto 3.500€/ Monat x 36 M)</t>
  </si>
  <si>
    <t>Gehalt - 20h/ Woche (AG-brutto 3.000€/ Monat x 36 M)</t>
  </si>
  <si>
    <t>Honorare - durchschnittlich 80€/ Monat (36 M)</t>
  </si>
  <si>
    <t>01.12.2025 - 31.11.2028</t>
  </si>
  <si>
    <t>2025: 1 P x 1 Fahrt/ 2026: 2 P x 5 Fahrten/ 2027&amp;28: 4 P x 5 Fahrten/ x 250€</t>
  </si>
  <si>
    <t>1x Beamer, 1x Soundanlage</t>
  </si>
  <si>
    <t>je 9 Vorst. x 80 Plätze x 10€ pro Ticket (Auslastung 60%)</t>
  </si>
  <si>
    <t>Stiftung Ebelin und Gerd Bucerius</t>
  </si>
  <si>
    <t>Programmierung 633,50€ (2026) / 473€ (2027) + Hostingkosten ab 2026: 6€/ Monat x 35 M</t>
  </si>
  <si>
    <t>Bau Zugangsrampe Proberaum (2.000€)/ Begleitpersonal (20 x 2 Personen x 500€)</t>
  </si>
  <si>
    <t>Büroraum: 350€/ Monat x 36 M./ Proberaum: 2.000€ /Monat ab März 2026 (33 M.)</t>
  </si>
  <si>
    <t>Büro: 2025 3.000€/ Proberaum, Workshops, Showings 2026-28 5.000€/ Jahr</t>
  </si>
  <si>
    <r>
      <t xml:space="preserve">* Zur Verbesserung der Situation professioneller freier Künstler:innen und kreativ Tätiger müssen grundsätzlich im Rahmen der Kulturförderung des Beauftragten der Bundesregierung für Kultur und Medien (BKM) geförderte Projekte den Empfehlungen der jeweiligen Fachverbände zu einer fairen Honorierung folgen. Es </t>
    </r>
    <r>
      <rPr>
        <b/>
        <sz val="10"/>
        <color rgb="FFDD0806"/>
        <rFont val="Arial"/>
        <family val="2"/>
      </rPr>
      <t>gelten derzeit als Mindeststandards die Honoraruntergrenzen</t>
    </r>
    <r>
      <rPr>
        <sz val="10"/>
        <color rgb="FFDD0806"/>
        <rFont val="Arial"/>
        <family val="2"/>
      </rPr>
      <t xml:space="preserve">, die (spartenübergreifend) auf der Website des Deutschen Kulturrats/Honoraruntergrenzen zu finden sind. Bei einem Fokus auf den Bereich der Darstellenden Künste finden Sie die Übersicht der Honoraruntergrenzen auch auf der Website des Bundesverband Freie Darstellende Künste (BFDK). Nutzen Sie zur Berechnung gerne den </t>
    </r>
    <r>
      <rPr>
        <b/>
        <sz val="10"/>
        <color rgb="FFDD0806"/>
        <rFont val="Arial"/>
        <family val="2"/>
      </rPr>
      <t>Rechner zur Honoraruntergrenze auf dem zweiten Blatt dieser Datei</t>
    </r>
    <r>
      <rPr>
        <sz val="10"/>
        <color rgb="FFDD0806"/>
        <rFont val="Arial"/>
        <family val="2"/>
      </rPr>
      <t>. Dort finden Sie auch die entsprechenden weiterführenden Links.</t>
    </r>
  </si>
  <si>
    <t>In der Kultur-MK-Honorarmatrix und in der Zusammenstellung des BKM wird in Sparten und Tätigkeitsfelder unterschieden. Bei der Festlegung der Honorarempfehlungen haben sich die Fach- und Berufsverbände sowie Gewerkschaften jeweils an typischen Tätigkeiten der Mitglieder orientiert. Hier finden Sie eine Übersicht der vereinbarten Honoraruntergrenzen alle Sparten: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</si>
</sst>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quot;€&quot;"/>
  </numFmts>
  <fonts count="32">
    <font>
      <sz val="9"/>
      <name val="Geneva"/>
    </font>
    <font>
      <sz val="9"/>
      <name val="Geneva"/>
    </font>
    <font>
      <u/>
      <sz val="9"/>
      <color indexed="12"/>
      <name val="Geneva"/>
    </font>
    <font>
      <b/>
      <sz val="12"/>
      <name val="Arial"/>
      <family val="2"/>
    </font>
    <font>
      <sz val="10"/>
      <name val="Arial"/>
      <family val="2"/>
    </font>
    <font>
      <b/>
      <sz val="10"/>
      <name val="Arial"/>
      <family val="2"/>
    </font>
    <font>
      <b/>
      <sz val="11"/>
      <name val="Arial"/>
      <family val="2"/>
    </font>
    <font>
      <sz val="9"/>
      <name val="Arial"/>
      <family val="2"/>
    </font>
    <font>
      <sz val="11"/>
      <name val="Arial"/>
      <family val="2"/>
    </font>
    <font>
      <b/>
      <sz val="18"/>
      <name val="Arial"/>
      <family val="2"/>
    </font>
    <font>
      <sz val="18"/>
      <name val="Arial"/>
      <family val="2"/>
    </font>
    <font>
      <b/>
      <i/>
      <sz val="10"/>
      <color rgb="FF7030A0"/>
      <name val="Arial"/>
      <family val="2"/>
    </font>
    <font>
      <b/>
      <sz val="9"/>
      <name val="Arial"/>
      <family val="2"/>
    </font>
    <font>
      <sz val="10"/>
      <color rgb="FFDD0806"/>
      <name val="Arial"/>
      <family val="2"/>
    </font>
    <font>
      <b/>
      <sz val="10"/>
      <color rgb="FFDD0806"/>
      <name val="Arial"/>
      <family val="2"/>
    </font>
    <font>
      <b/>
      <sz val="14"/>
      <name val="Arial"/>
      <family val="2"/>
    </font>
    <font>
      <sz val="8"/>
      <name val="Arial"/>
      <family val="2"/>
    </font>
    <font>
      <b/>
      <sz val="8"/>
      <name val="Arial"/>
      <family val="2"/>
    </font>
    <font>
      <b/>
      <sz val="9"/>
      <color rgb="FFFF0000"/>
      <name val="Arial"/>
      <family val="2"/>
    </font>
    <font>
      <b/>
      <sz val="10"/>
      <color rgb="FFFF0000"/>
      <name val="Arial"/>
      <family val="2"/>
    </font>
    <font>
      <b/>
      <sz val="14"/>
      <name val="Geneva"/>
    </font>
    <font>
      <sz val="8"/>
      <color rgb="FFFFC000"/>
      <name val="Geneva"/>
    </font>
    <font>
      <u/>
      <sz val="8"/>
      <name val="Arial"/>
      <family val="2"/>
    </font>
    <font>
      <sz val="9"/>
      <color rgb="FF7030A0"/>
      <name val="Geneva"/>
    </font>
    <font>
      <u/>
      <sz val="8"/>
      <color rgb="FF7030A0"/>
      <name val="Arial"/>
      <family val="2"/>
    </font>
    <font>
      <b/>
      <sz val="11"/>
      <color rgb="FFDD0806"/>
      <name val="Arial"/>
      <family val="2"/>
    </font>
    <font>
      <b/>
      <u/>
      <sz val="8"/>
      <name val="Arial"/>
      <family val="2"/>
    </font>
    <font>
      <b/>
      <sz val="8"/>
      <name val="Geneva"/>
    </font>
    <font>
      <b/>
      <i/>
      <sz val="18"/>
      <color rgb="FF7030A0"/>
      <name val="Arial"/>
      <family val="2"/>
    </font>
    <font>
      <b/>
      <i/>
      <sz val="9"/>
      <name val="Arial"/>
      <family val="2"/>
    </font>
    <font>
      <sz val="9"/>
      <color rgb="FFDD0806"/>
      <name val="Arial"/>
      <family val="2"/>
    </font>
    <font>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699"/>
        <bgColor indexed="64"/>
      </patternFill>
    </fill>
    <fill>
      <patternFill patternType="solid">
        <fgColor rgb="FFFFF2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FF0000"/>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style="thin">
        <color indexed="64"/>
      </left>
      <right style="thick">
        <color theme="0" tint="-0.499984740745262"/>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top style="thin">
        <color rgb="FFFF0000"/>
      </top>
      <bottom style="thin">
        <color rgb="FFFF000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ck">
        <color theme="0" tint="-0.499984740745262"/>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4">
    <xf numFmtId="0" fontId="0" fillId="0" borderId="0" xfId="0"/>
    <xf numFmtId="14" fontId="4" fillId="0" borderId="1" xfId="0" applyNumberFormat="1" applyFont="1" applyBorder="1" applyAlignment="1">
      <alignment horizontal="center" vertical="center"/>
    </xf>
    <xf numFmtId="49" fontId="4" fillId="0" borderId="5" xfId="0" applyNumberFormat="1" applyFont="1" applyBorder="1" applyAlignment="1" applyProtection="1">
      <alignment horizontal="left" vertical="center"/>
      <protection locked="0"/>
    </xf>
    <xf numFmtId="0" fontId="8" fillId="0" borderId="0" xfId="0" applyFont="1" applyAlignment="1">
      <alignment horizontal="center" vertical="center"/>
    </xf>
    <xf numFmtId="4" fontId="4"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0" fontId="12" fillId="0" borderId="0" xfId="0" applyFont="1"/>
    <xf numFmtId="0" fontId="7" fillId="0" borderId="0" xfId="0" applyFont="1"/>
    <xf numFmtId="0" fontId="11" fillId="0" borderId="0" xfId="0" applyFont="1" applyAlignment="1" applyProtection="1">
      <alignment horizontal="left" vertical="center" wrapText="1"/>
      <protection locked="0"/>
    </xf>
    <xf numFmtId="0" fontId="11" fillId="0" borderId="0" xfId="0" applyFont="1" applyAlignment="1">
      <alignment horizontal="left" vertical="center" wrapText="1"/>
    </xf>
    <xf numFmtId="49" fontId="4" fillId="0" borderId="5" xfId="0" applyNumberFormat="1" applyFont="1" applyBorder="1" applyAlignment="1">
      <alignment horizontal="left" vertical="center"/>
    </xf>
    <xf numFmtId="14" fontId="4" fillId="2" borderId="12" xfId="0" applyNumberFormat="1" applyFont="1" applyFill="1" applyBorder="1" applyAlignment="1">
      <alignment vertical="center"/>
    </xf>
    <xf numFmtId="14" fontId="4" fillId="2" borderId="4" xfId="0" applyNumberFormat="1" applyFont="1" applyFill="1" applyBorder="1" applyAlignment="1">
      <alignment vertical="center"/>
    </xf>
    <xf numFmtId="0" fontId="5" fillId="0" borderId="0" xfId="0" applyFont="1" applyAlignment="1">
      <alignment vertical="center" wrapText="1"/>
    </xf>
    <xf numFmtId="0" fontId="6" fillId="0" borderId="2" xfId="0" applyFont="1" applyBorder="1" applyAlignment="1">
      <alignment horizontal="left" vertical="center"/>
    </xf>
    <xf numFmtId="14" fontId="4" fillId="2" borderId="14" xfId="0" applyNumberFormat="1" applyFont="1" applyFill="1" applyBorder="1" applyAlignment="1">
      <alignment vertical="center"/>
    </xf>
    <xf numFmtId="14" fontId="5" fillId="2" borderId="8" xfId="0" applyNumberFormat="1" applyFont="1" applyFill="1" applyBorder="1" applyAlignment="1">
      <alignment vertical="top"/>
    </xf>
    <xf numFmtId="4" fontId="5" fillId="2" borderId="11" xfId="0" applyNumberFormat="1" applyFont="1" applyFill="1" applyBorder="1" applyAlignment="1">
      <alignment horizontal="right" vertical="top"/>
    </xf>
    <xf numFmtId="49" fontId="4" fillId="0" borderId="5" xfId="0" applyNumberFormat="1" applyFont="1" applyBorder="1" applyAlignment="1" applyProtection="1">
      <alignment horizontal="center" vertical="center"/>
      <protection locked="0"/>
    </xf>
    <xf numFmtId="49" fontId="3" fillId="0" borderId="0" xfId="0" applyNumberFormat="1" applyFont="1" applyAlignment="1">
      <alignment vertical="center"/>
    </xf>
    <xf numFmtId="4" fontId="3" fillId="0" borderId="0" xfId="0" applyNumberFormat="1" applyFont="1" applyAlignment="1">
      <alignment horizontal="right" vertical="center"/>
    </xf>
    <xf numFmtId="14" fontId="5" fillId="2" borderId="7" xfId="0" applyNumberFormat="1" applyFont="1" applyFill="1" applyBorder="1" applyAlignment="1">
      <alignment vertical="top"/>
    </xf>
    <xf numFmtId="4" fontId="5" fillId="2" borderId="6" xfId="0" applyNumberFormat="1" applyFont="1" applyFill="1" applyBorder="1" applyAlignment="1">
      <alignment horizontal="right" vertical="top"/>
    </xf>
    <xf numFmtId="4" fontId="3" fillId="4" borderId="18" xfId="0" applyNumberFormat="1" applyFont="1" applyFill="1" applyBorder="1" applyAlignment="1">
      <alignment horizontal="right" vertical="center"/>
    </xf>
    <xf numFmtId="49" fontId="13" fillId="0" borderId="0" xfId="0" applyNumberFormat="1" applyFont="1" applyAlignment="1">
      <alignment vertical="center"/>
    </xf>
    <xf numFmtId="0" fontId="4" fillId="0" borderId="0" xfId="0" applyFont="1" applyAlignment="1">
      <alignment vertical="center"/>
    </xf>
    <xf numFmtId="49" fontId="4" fillId="0" borderId="1" xfId="0" applyNumberFormat="1" applyFont="1" applyBorder="1" applyAlignment="1">
      <alignment horizontal="right" vertical="center"/>
    </xf>
    <xf numFmtId="0" fontId="13" fillId="0" borderId="0" xfId="0" applyFont="1" applyAlignment="1">
      <alignment horizontal="left" vertical="center" wrapText="1"/>
    </xf>
    <xf numFmtId="4" fontId="4" fillId="0" borderId="3" xfId="0" applyNumberFormat="1" applyFont="1" applyBorder="1" applyAlignment="1">
      <alignment horizontal="right" vertical="center"/>
    </xf>
    <xf numFmtId="4" fontId="5" fillId="0" borderId="3" xfId="0" applyNumberFormat="1" applyFont="1" applyBorder="1" applyAlignment="1">
      <alignment horizontal="right" vertical="center"/>
    </xf>
    <xf numFmtId="49" fontId="3" fillId="4" borderId="20" xfId="0" applyNumberFormat="1" applyFont="1" applyFill="1" applyBorder="1" applyAlignment="1">
      <alignment vertical="center"/>
    </xf>
    <xf numFmtId="49" fontId="3" fillId="4" borderId="21" xfId="0" applyNumberFormat="1" applyFont="1" applyFill="1" applyBorder="1" applyAlignment="1">
      <alignment vertical="center"/>
    </xf>
    <xf numFmtId="4" fontId="3" fillId="4" borderId="22" xfId="0" applyNumberFormat="1" applyFont="1" applyFill="1" applyBorder="1" applyAlignment="1">
      <alignment horizontal="right" vertical="center"/>
    </xf>
    <xf numFmtId="4" fontId="3" fillId="4" borderId="23" xfId="0" applyNumberFormat="1" applyFont="1" applyFill="1" applyBorder="1" applyAlignment="1">
      <alignment horizontal="right" vertical="center"/>
    </xf>
    <xf numFmtId="4" fontId="5" fillId="2" borderId="4" xfId="0" applyNumberFormat="1" applyFont="1" applyFill="1" applyBorder="1" applyAlignment="1">
      <alignment horizontal="right" vertical="center"/>
    </xf>
    <xf numFmtId="4" fontId="5" fillId="2" borderId="14" xfId="0" applyNumberFormat="1" applyFont="1" applyFill="1" applyBorder="1" applyAlignment="1">
      <alignment horizontal="right" vertical="center"/>
    </xf>
    <xf numFmtId="0" fontId="15" fillId="0" borderId="0" xfId="0" applyFont="1"/>
    <xf numFmtId="0" fontId="0" fillId="0" borderId="0" xfId="0" applyAlignment="1">
      <alignment wrapText="1"/>
    </xf>
    <xf numFmtId="0" fontId="5" fillId="0" borderId="0" xfId="0" applyFont="1"/>
    <xf numFmtId="165" fontId="5" fillId="0" borderId="0" xfId="0" applyNumberFormat="1" applyFont="1"/>
    <xf numFmtId="0" fontId="18" fillId="0" borderId="33" xfId="0" applyFont="1" applyBorder="1" applyAlignment="1">
      <alignment horizontal="left" vertical="top" wrapText="1"/>
    </xf>
    <xf numFmtId="0" fontId="7" fillId="0" borderId="0" xfId="0" applyFont="1" applyAlignment="1">
      <alignment horizontal="left" vertical="top" indent="1"/>
    </xf>
    <xf numFmtId="49" fontId="4" fillId="0" borderId="0" xfId="0" applyNumberFormat="1" applyFont="1" applyAlignment="1">
      <alignment vertical="center"/>
    </xf>
    <xf numFmtId="0" fontId="4" fillId="0" borderId="37" xfId="0" applyFont="1" applyBorder="1" applyAlignment="1">
      <alignment vertical="center"/>
    </xf>
    <xf numFmtId="0" fontId="13" fillId="0" borderId="40" xfId="0" applyFont="1" applyBorder="1" applyAlignment="1">
      <alignment vertical="top" wrapText="1"/>
    </xf>
    <xf numFmtId="49" fontId="4" fillId="0" borderId="37" xfId="0" applyNumberFormat="1" applyFont="1" applyBorder="1" applyAlignment="1">
      <alignment vertical="center"/>
    </xf>
    <xf numFmtId="0" fontId="21" fillId="0" borderId="0" xfId="0" applyFont="1"/>
    <xf numFmtId="0" fontId="3" fillId="0" borderId="0" xfId="0" applyFont="1" applyAlignment="1">
      <alignment vertical="center"/>
    </xf>
    <xf numFmtId="0" fontId="0" fillId="0" borderId="0" xfId="0" applyAlignment="1">
      <alignment horizontal="left" wrapText="1" indent="4"/>
    </xf>
    <xf numFmtId="0" fontId="0" fillId="3" borderId="0" xfId="0" applyFill="1"/>
    <xf numFmtId="0" fontId="6" fillId="4" borderId="25" xfId="0" applyFont="1" applyFill="1" applyBorder="1" applyAlignment="1">
      <alignment horizontal="left" indent="1"/>
    </xf>
    <xf numFmtId="0" fontId="16" fillId="4" borderId="26" xfId="0" applyFont="1" applyFill="1" applyBorder="1" applyAlignment="1">
      <alignment horizontal="left" vertical="top" wrapText="1" indent="1"/>
    </xf>
    <xf numFmtId="0" fontId="7" fillId="4" borderId="26" xfId="0" applyFont="1" applyFill="1" applyBorder="1" applyAlignment="1">
      <alignment horizontal="left" vertical="top" indent="1"/>
    </xf>
    <xf numFmtId="0" fontId="16" fillId="4" borderId="26" xfId="0" applyFont="1" applyFill="1" applyBorder="1" applyAlignment="1">
      <alignment vertical="top" wrapText="1"/>
    </xf>
    <xf numFmtId="0" fontId="17" fillId="4" borderId="26" xfId="0" applyFont="1" applyFill="1" applyBorder="1" applyAlignment="1">
      <alignment horizontal="left" vertical="top" wrapText="1" indent="1"/>
    </xf>
    <xf numFmtId="0" fontId="23" fillId="0" borderId="0" xfId="0" applyFont="1"/>
    <xf numFmtId="0" fontId="24" fillId="4" borderId="26" xfId="1" applyFont="1" applyFill="1" applyBorder="1" applyAlignment="1" applyProtection="1">
      <alignment horizontal="left" indent="1"/>
    </xf>
    <xf numFmtId="0" fontId="24" fillId="4" borderId="26" xfId="1" applyFont="1" applyFill="1" applyBorder="1" applyAlignment="1" applyProtection="1">
      <alignment horizontal="left" vertical="center" wrapText="1" indent="1"/>
    </xf>
    <xf numFmtId="0" fontId="15" fillId="3" borderId="0" xfId="0" applyFont="1" applyFill="1" applyAlignment="1">
      <alignment vertical="center"/>
    </xf>
    <xf numFmtId="0" fontId="20" fillId="3" borderId="0" xfId="0" applyFont="1" applyFill="1" applyAlignment="1">
      <alignment vertical="center"/>
    </xf>
    <xf numFmtId="0" fontId="0" fillId="4" borderId="28" xfId="0" applyFill="1" applyBorder="1"/>
    <xf numFmtId="0" fontId="0" fillId="4" borderId="29" xfId="0" applyFill="1" applyBorder="1"/>
    <xf numFmtId="0" fontId="5" fillId="4" borderId="30" xfId="0" applyFont="1" applyFill="1" applyBorder="1"/>
    <xf numFmtId="0" fontId="0" fillId="0" borderId="30" xfId="0" applyBorder="1"/>
    <xf numFmtId="0" fontId="0" fillId="4" borderId="30" xfId="0" applyFill="1" applyBorder="1"/>
    <xf numFmtId="165" fontId="0" fillId="4" borderId="30" xfId="0" applyNumberFormat="1" applyFill="1" applyBorder="1"/>
    <xf numFmtId="0" fontId="5" fillId="3" borderId="27" xfId="0" applyFont="1" applyFill="1" applyBorder="1"/>
    <xf numFmtId="0" fontId="0" fillId="3" borderId="28" xfId="0" applyFill="1" applyBorder="1"/>
    <xf numFmtId="0" fontId="0" fillId="3" borderId="29" xfId="0" applyFill="1" applyBorder="1"/>
    <xf numFmtId="0" fontId="5" fillId="3" borderId="30" xfId="0" applyFont="1" applyFill="1" applyBorder="1"/>
    <xf numFmtId="165" fontId="5" fillId="4" borderId="30" xfId="0" applyNumberFormat="1" applyFont="1" applyFill="1" applyBorder="1"/>
    <xf numFmtId="0" fontId="0" fillId="4" borderId="27" xfId="0" applyFill="1" applyBorder="1"/>
    <xf numFmtId="0" fontId="5" fillId="4" borderId="28" xfId="0" applyFont="1" applyFill="1" applyBorder="1"/>
    <xf numFmtId="14" fontId="4" fillId="0" borderId="5" xfId="0" applyNumberFormat="1" applyFont="1" applyBorder="1" applyAlignment="1">
      <alignment horizontal="center" vertical="center"/>
    </xf>
    <xf numFmtId="49" fontId="4" fillId="0" borderId="7" xfId="0" applyNumberFormat="1" applyFont="1" applyBorder="1" applyAlignment="1">
      <alignment horizontal="right" vertical="center"/>
    </xf>
    <xf numFmtId="0" fontId="6" fillId="0" borderId="5" xfId="0" applyFont="1" applyBorder="1" applyAlignment="1">
      <alignment horizontal="left" vertical="center"/>
    </xf>
    <xf numFmtId="49" fontId="4" fillId="0" borderId="5" xfId="0" applyNumberFormat="1" applyFont="1" applyBorder="1" applyAlignment="1" applyProtection="1">
      <alignment horizontal="center" vertical="center" wrapText="1"/>
      <protection locked="0"/>
    </xf>
    <xf numFmtId="10" fontId="4" fillId="0" borderId="1" xfId="0" applyNumberFormat="1" applyFont="1" applyBorder="1" applyAlignment="1">
      <alignment horizontal="center" wrapText="1"/>
    </xf>
    <xf numFmtId="9" fontId="4" fillId="0" borderId="43" xfId="2" applyFont="1" applyBorder="1" applyAlignment="1">
      <alignment horizontal="center" vertical="center" wrapText="1"/>
    </xf>
    <xf numFmtId="49" fontId="3" fillId="0" borderId="39" xfId="0" applyNumberFormat="1" applyFont="1" applyBorder="1" applyAlignment="1">
      <alignment vertical="center"/>
    </xf>
    <xf numFmtId="49" fontId="3" fillId="0" borderId="40" xfId="0" applyNumberFormat="1" applyFont="1" applyBorder="1" applyAlignment="1">
      <alignment vertical="center"/>
    </xf>
    <xf numFmtId="4" fontId="3" fillId="0" borderId="40" xfId="0" applyNumberFormat="1" applyFont="1" applyBorder="1" applyAlignment="1">
      <alignment horizontal="right" vertical="center"/>
    </xf>
    <xf numFmtId="4" fontId="3" fillId="0" borderId="44" xfId="0" applyNumberFormat="1" applyFont="1" applyBorder="1" applyAlignment="1">
      <alignment horizontal="right" vertical="center"/>
    </xf>
    <xf numFmtId="14" fontId="5" fillId="2" borderId="46" xfId="0" applyNumberFormat="1" applyFont="1" applyFill="1" applyBorder="1" applyAlignment="1">
      <alignment vertical="top"/>
    </xf>
    <xf numFmtId="4" fontId="5" fillId="2" borderId="47" xfId="0" applyNumberFormat="1" applyFont="1" applyFill="1" applyBorder="1" applyAlignment="1">
      <alignment horizontal="right" vertical="top"/>
    </xf>
    <xf numFmtId="0" fontId="13" fillId="0" borderId="2" xfId="0" applyFont="1" applyBorder="1" applyAlignment="1">
      <alignment horizontal="left" vertical="center"/>
    </xf>
    <xf numFmtId="4" fontId="4" fillId="0" borderId="4" xfId="0" applyNumberFormat="1" applyFont="1" applyBorder="1" applyAlignment="1">
      <alignment horizontal="right" vertical="center"/>
    </xf>
    <xf numFmtId="4" fontId="4" fillId="0" borderId="14" xfId="0" applyNumberFormat="1" applyFont="1" applyBorder="1" applyAlignment="1">
      <alignment horizontal="right" vertical="center"/>
    </xf>
    <xf numFmtId="14" fontId="6" fillId="2" borderId="9" xfId="0" applyNumberFormat="1" applyFont="1" applyFill="1" applyBorder="1" applyAlignment="1">
      <alignment vertical="center"/>
    </xf>
    <xf numFmtId="14" fontId="5" fillId="2" borderId="10" xfId="0" applyNumberFormat="1" applyFont="1" applyFill="1" applyBorder="1" applyAlignment="1">
      <alignment vertical="center"/>
    </xf>
    <xf numFmtId="14" fontId="6" fillId="2" borderId="7" xfId="0" applyNumberFormat="1" applyFont="1" applyFill="1" applyBorder="1" applyAlignment="1">
      <alignment vertical="top"/>
    </xf>
    <xf numFmtId="14" fontId="5" fillId="2" borderId="6" xfId="0" applyNumberFormat="1" applyFont="1" applyFill="1" applyBorder="1" applyAlignment="1">
      <alignment vertical="top"/>
    </xf>
    <xf numFmtId="14" fontId="4" fillId="2" borderId="13" xfId="0" applyNumberFormat="1" applyFont="1" applyFill="1" applyBorder="1" applyAlignment="1">
      <alignment vertical="center"/>
    </xf>
    <xf numFmtId="14" fontId="6" fillId="2" borderId="46" xfId="0" applyNumberFormat="1" applyFont="1" applyFill="1" applyBorder="1" applyAlignment="1">
      <alignment vertical="top"/>
    </xf>
    <xf numFmtId="14" fontId="5" fillId="2" borderId="45" xfId="0" applyNumberFormat="1" applyFont="1" applyFill="1" applyBorder="1" applyAlignment="1">
      <alignment vertical="top"/>
    </xf>
    <xf numFmtId="49" fontId="4" fillId="0" borderId="13" xfId="0" applyNumberFormat="1" applyFont="1" applyBorder="1" applyAlignment="1">
      <alignment horizontal="left" vertical="center"/>
    </xf>
    <xf numFmtId="0" fontId="27" fillId="4" borderId="29" xfId="0" applyFont="1" applyFill="1" applyBorder="1" applyAlignment="1">
      <alignment horizontal="right"/>
    </xf>
    <xf numFmtId="0" fontId="5" fillId="0" borderId="1" xfId="0" applyFont="1" applyBorder="1" applyAlignment="1">
      <alignment horizontal="center" vertical="center" wrapText="1"/>
    </xf>
    <xf numFmtId="4" fontId="4" fillId="0" borderId="48" xfId="0" applyNumberFormat="1" applyFont="1" applyBorder="1" applyAlignment="1" applyProtection="1">
      <alignment horizontal="left" vertical="center"/>
      <protection locked="0"/>
    </xf>
    <xf numFmtId="4" fontId="4" fillId="4" borderId="49" xfId="0" applyNumberFormat="1" applyFont="1" applyFill="1" applyBorder="1" applyAlignment="1">
      <alignment horizontal="right" vertical="center"/>
    </xf>
    <xf numFmtId="14" fontId="4" fillId="2" borderId="50" xfId="0" applyNumberFormat="1" applyFont="1" applyFill="1" applyBorder="1" applyAlignment="1">
      <alignment vertical="center"/>
    </xf>
    <xf numFmtId="14" fontId="5" fillId="4" borderId="51" xfId="0" applyNumberFormat="1" applyFont="1" applyFill="1" applyBorder="1" applyAlignment="1">
      <alignment vertical="center"/>
    </xf>
    <xf numFmtId="14" fontId="5" fillId="2" borderId="52" xfId="0" applyNumberFormat="1" applyFont="1" applyFill="1" applyBorder="1" applyAlignment="1">
      <alignment vertical="top"/>
    </xf>
    <xf numFmtId="4" fontId="5" fillId="4" borderId="53" xfId="0" applyNumberFormat="1" applyFont="1" applyFill="1" applyBorder="1" applyAlignment="1">
      <alignment horizontal="right" vertical="top"/>
    </xf>
    <xf numFmtId="0" fontId="6" fillId="0" borderId="48" xfId="0" applyFont="1" applyBorder="1" applyAlignment="1">
      <alignment horizontal="left" vertical="center"/>
    </xf>
    <xf numFmtId="4" fontId="5" fillId="4" borderId="49" xfId="0" applyNumberFormat="1" applyFont="1" applyFill="1" applyBorder="1" applyAlignment="1">
      <alignment horizontal="left" vertical="center"/>
    </xf>
    <xf numFmtId="49" fontId="4" fillId="0" borderId="48" xfId="0" applyNumberFormat="1" applyFont="1" applyBorder="1" applyAlignment="1">
      <alignment horizontal="left" vertical="center"/>
    </xf>
    <xf numFmtId="14" fontId="5" fillId="2" borderId="0" xfId="0" applyNumberFormat="1" applyFont="1" applyFill="1" applyAlignment="1">
      <alignment vertical="center"/>
    </xf>
    <xf numFmtId="4" fontId="5" fillId="4" borderId="51" xfId="0" applyNumberFormat="1" applyFont="1" applyFill="1" applyBorder="1" applyAlignment="1">
      <alignment horizontal="right" vertical="center"/>
    </xf>
    <xf numFmtId="0" fontId="9" fillId="0" borderId="0" xfId="0" applyFont="1" applyAlignment="1">
      <alignment vertical="center"/>
    </xf>
    <xf numFmtId="0" fontId="7" fillId="0" borderId="0" xfId="0" applyFont="1" applyAlignment="1">
      <alignment vertical="center"/>
    </xf>
    <xf numFmtId="0" fontId="7" fillId="0" borderId="10" xfId="0" applyFont="1" applyBorder="1" applyAlignment="1">
      <alignment vertical="center"/>
    </xf>
    <xf numFmtId="4" fontId="7" fillId="0" borderId="0" xfId="0" applyNumberFormat="1" applyFont="1" applyAlignment="1">
      <alignment horizontal="right" vertical="center"/>
    </xf>
    <xf numFmtId="0" fontId="11" fillId="0" borderId="0" xfId="0" applyFont="1" applyAlignment="1">
      <alignment horizontal="center" vertical="center"/>
    </xf>
    <xf numFmtId="0" fontId="4" fillId="0" borderId="0" xfId="0" applyFont="1" applyAlignment="1">
      <alignment horizontal="center" vertical="center"/>
    </xf>
    <xf numFmtId="4" fontId="5" fillId="0" borderId="0" xfId="0" applyNumberFormat="1" applyFont="1" applyAlignment="1">
      <alignment horizontal="right" vertical="center"/>
    </xf>
    <xf numFmtId="4" fontId="4" fillId="0" borderId="0" xfId="0" applyNumberFormat="1" applyFont="1" applyAlignment="1">
      <alignment horizontal="right" vertical="center"/>
    </xf>
    <xf numFmtId="4" fontId="5" fillId="0" borderId="0" xfId="0" applyNumberFormat="1" applyFont="1" applyAlignment="1">
      <alignment horizontal="right" vertical="top"/>
    </xf>
    <xf numFmtId="0" fontId="12" fillId="0" borderId="0" xfId="0" applyFont="1" applyAlignment="1">
      <alignment vertical="top"/>
    </xf>
    <xf numFmtId="0" fontId="12" fillId="4" borderId="19" xfId="0" applyFont="1" applyFill="1" applyBorder="1" applyAlignment="1">
      <alignment vertical="center"/>
    </xf>
    <xf numFmtId="0" fontId="12" fillId="0" borderId="0" xfId="0" applyFont="1" applyAlignment="1">
      <alignment vertical="center"/>
    </xf>
    <xf numFmtId="4" fontId="4" fillId="0" borderId="48" xfId="0" applyNumberFormat="1" applyFont="1" applyBorder="1" applyAlignment="1">
      <alignment horizontal="left" vertical="center"/>
    </xf>
    <xf numFmtId="4" fontId="5" fillId="2" borderId="52" xfId="0" applyNumberFormat="1" applyFont="1" applyFill="1" applyBorder="1" applyAlignment="1">
      <alignment horizontal="right" vertical="top"/>
    </xf>
    <xf numFmtId="4" fontId="5" fillId="2" borderId="54" xfId="0" applyNumberFormat="1" applyFont="1" applyFill="1" applyBorder="1" applyAlignment="1">
      <alignment horizontal="right" vertical="center"/>
    </xf>
    <xf numFmtId="0" fontId="4" fillId="0" borderId="0" xfId="0" applyFont="1" applyAlignment="1">
      <alignment vertical="center" wrapText="1"/>
    </xf>
    <xf numFmtId="4" fontId="7" fillId="0" borderId="0" xfId="0" applyNumberFormat="1" applyFont="1" applyAlignment="1">
      <alignment horizontal="center" vertical="center"/>
    </xf>
    <xf numFmtId="4" fontId="12" fillId="0" borderId="0" xfId="0" applyNumberFormat="1" applyFont="1" applyAlignment="1">
      <alignment horizontal="right" vertical="center"/>
    </xf>
    <xf numFmtId="164" fontId="7" fillId="0" borderId="0" xfId="0" applyNumberFormat="1" applyFont="1" applyAlignment="1">
      <alignment horizontal="center" vertical="center"/>
    </xf>
    <xf numFmtId="0" fontId="31"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24" xfId="0" applyFont="1" applyBorder="1" applyAlignment="1">
      <alignment vertical="center" wrapText="1"/>
    </xf>
    <xf numFmtId="0" fontId="5" fillId="0" borderId="0" xfId="0" applyFont="1" applyAlignment="1">
      <alignment horizontal="right" vertical="center" wrapText="1"/>
    </xf>
    <xf numFmtId="4" fontId="29" fillId="0" borderId="15" xfId="0" applyNumberFormat="1" applyFont="1" applyBorder="1" applyAlignment="1">
      <alignment horizontal="center" vertical="center"/>
    </xf>
    <xf numFmtId="14" fontId="11" fillId="0" borderId="15" xfId="0" applyNumberFormat="1" applyFont="1" applyBorder="1" applyAlignment="1">
      <alignment horizontal="center" vertical="center"/>
    </xf>
    <xf numFmtId="49" fontId="4" fillId="0" borderId="50" xfId="0" applyNumberFormat="1" applyFont="1" applyBorder="1" applyAlignment="1">
      <alignment horizontal="left" vertical="center"/>
    </xf>
    <xf numFmtId="0" fontId="12" fillId="2" borderId="52" xfId="0" applyFont="1" applyFill="1" applyBorder="1" applyAlignment="1">
      <alignment vertical="top"/>
    </xf>
    <xf numFmtId="0" fontId="4" fillId="0" borderId="48" xfId="0" applyFont="1" applyBorder="1" applyAlignment="1">
      <alignment horizontal="left" vertical="center"/>
    </xf>
    <xf numFmtId="0" fontId="12" fillId="2" borderId="56" xfId="0" applyFont="1" applyFill="1" applyBorder="1" applyAlignment="1">
      <alignment vertical="top"/>
    </xf>
    <xf numFmtId="4" fontId="5" fillId="4" borderId="57" xfId="0" applyNumberFormat="1" applyFont="1" applyFill="1" applyBorder="1" applyAlignment="1">
      <alignment horizontal="right" vertical="top"/>
    </xf>
    <xf numFmtId="0" fontId="6" fillId="0" borderId="52" xfId="0" applyFont="1" applyBorder="1" applyAlignment="1" applyProtection="1">
      <alignment horizontal="left" vertical="center"/>
      <protection locked="0"/>
    </xf>
    <xf numFmtId="4" fontId="4" fillId="0" borderId="11" xfId="0" applyNumberFormat="1" applyFont="1" applyBorder="1" applyAlignment="1">
      <alignment horizontal="right" vertical="center"/>
    </xf>
    <xf numFmtId="4" fontId="4" fillId="0" borderId="6" xfId="0" applyNumberFormat="1" applyFont="1" applyBorder="1" applyAlignment="1">
      <alignment horizontal="right" vertical="center"/>
    </xf>
    <xf numFmtId="4" fontId="5" fillId="4" borderId="53" xfId="0" applyNumberFormat="1" applyFont="1" applyFill="1" applyBorder="1" applyAlignment="1">
      <alignment horizontal="right" vertical="center"/>
    </xf>
    <xf numFmtId="4" fontId="6" fillId="4" borderId="19" xfId="0" applyNumberFormat="1" applyFont="1" applyFill="1" applyBorder="1" applyAlignment="1" applyProtection="1">
      <alignment horizontal="left" vertical="center"/>
      <protection locked="0"/>
    </xf>
    <xf numFmtId="14" fontId="6" fillId="4" borderId="20" xfId="0" applyNumberFormat="1" applyFont="1" applyFill="1" applyBorder="1" applyAlignment="1" applyProtection="1">
      <alignment vertical="center"/>
      <protection locked="0"/>
    </xf>
    <xf numFmtId="14" fontId="4" fillId="4" borderId="22" xfId="0" applyNumberFormat="1" applyFont="1" applyFill="1" applyBorder="1" applyAlignment="1" applyProtection="1">
      <alignment horizontal="center" vertical="center"/>
      <protection locked="0"/>
    </xf>
    <xf numFmtId="14" fontId="4" fillId="4" borderId="23" xfId="0" applyNumberFormat="1" applyFont="1" applyFill="1" applyBorder="1" applyAlignment="1" applyProtection="1">
      <alignment horizontal="center" vertical="center"/>
      <protection locked="0"/>
    </xf>
    <xf numFmtId="14" fontId="4" fillId="4" borderId="18" xfId="0" applyNumberFormat="1" applyFont="1" applyFill="1" applyBorder="1" applyAlignment="1" applyProtection="1">
      <alignment horizontal="center" vertical="center"/>
      <protection locked="0"/>
    </xf>
    <xf numFmtId="0" fontId="5" fillId="2" borderId="58" xfId="0" applyFont="1" applyFill="1" applyBorder="1" applyAlignment="1">
      <alignment vertical="center"/>
    </xf>
    <xf numFmtId="0" fontId="5" fillId="2" borderId="59" xfId="0" applyFont="1" applyFill="1" applyBorder="1" applyAlignment="1">
      <alignment vertical="center" wrapText="1"/>
    </xf>
    <xf numFmtId="0" fontId="5" fillId="2" borderId="60" xfId="0" applyFont="1" applyFill="1" applyBorder="1" applyAlignment="1">
      <alignment vertical="center" wrapText="1"/>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6" fillId="0" borderId="8" xfId="0" applyFont="1" applyBorder="1" applyAlignment="1" applyProtection="1">
      <alignment vertical="center"/>
      <protection locked="0"/>
    </xf>
    <xf numFmtId="0" fontId="13" fillId="0" borderId="7" xfId="0" applyFont="1" applyBorder="1" applyAlignment="1">
      <alignment horizontal="left" vertical="center"/>
    </xf>
    <xf numFmtId="0" fontId="6" fillId="0" borderId="7" xfId="0" applyFont="1" applyBorder="1" applyAlignment="1" applyProtection="1">
      <alignment vertical="center"/>
      <protection locked="0"/>
    </xf>
    <xf numFmtId="4" fontId="4" fillId="0" borderId="63" xfId="0" applyNumberFormat="1" applyFont="1" applyBorder="1" applyAlignment="1">
      <alignment horizontal="right" vertical="center"/>
    </xf>
    <xf numFmtId="4" fontId="5" fillId="0" borderId="38" xfId="0" applyNumberFormat="1" applyFont="1" applyBorder="1" applyAlignment="1">
      <alignment horizontal="right" vertical="center"/>
    </xf>
    <xf numFmtId="4" fontId="5" fillId="0" borderId="64" xfId="0" applyNumberFormat="1" applyFont="1" applyBorder="1" applyAlignment="1">
      <alignment horizontal="center" vertical="center" wrapText="1"/>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0" fontId="6" fillId="0" borderId="2" xfId="0" applyFont="1" applyBorder="1" applyAlignment="1">
      <alignment horizontal="left" vertical="center"/>
    </xf>
    <xf numFmtId="0" fontId="6" fillId="0" borderId="5" xfId="0" applyFont="1" applyBorder="1" applyAlignment="1">
      <alignment horizontal="left" vertical="center"/>
    </xf>
    <xf numFmtId="0" fontId="9" fillId="0" borderId="0" xfId="0" applyFont="1" applyAlignment="1">
      <alignment horizontal="left" vertical="center"/>
    </xf>
    <xf numFmtId="14" fontId="4" fillId="0" borderId="3" xfId="0" applyNumberFormat="1" applyFont="1" applyBorder="1" applyAlignment="1">
      <alignment horizontal="center" vertical="center"/>
    </xf>
    <xf numFmtId="14" fontId="4" fillId="0" borderId="5" xfId="0" applyNumberFormat="1" applyFont="1" applyBorder="1" applyAlignment="1">
      <alignment horizontal="center" vertical="center"/>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28" fillId="0" borderId="16" xfId="0" applyFont="1" applyBorder="1" applyAlignment="1">
      <alignment horizontal="left" vertical="center" wrapText="1"/>
    </xf>
    <xf numFmtId="0" fontId="28" fillId="0" borderId="55" xfId="0" applyFont="1" applyBorder="1" applyAlignment="1">
      <alignment horizontal="left" vertical="center" wrapText="1"/>
    </xf>
    <xf numFmtId="0" fontId="28" fillId="0" borderId="17" xfId="0" applyFont="1" applyBorder="1" applyAlignment="1">
      <alignment horizontal="left" vertical="center" wrapText="1"/>
    </xf>
    <xf numFmtId="0" fontId="5" fillId="0" borderId="0" xfId="0" applyFont="1" applyAlignment="1">
      <alignment horizontal="left" vertical="center" wrapText="1"/>
    </xf>
    <xf numFmtId="0" fontId="11" fillId="0" borderId="16" xfId="0" applyFont="1" applyBorder="1" applyAlignment="1">
      <alignment horizontal="left" vertical="center" wrapText="1"/>
    </xf>
    <xf numFmtId="0" fontId="11" fillId="0" borderId="55" xfId="0" applyFont="1" applyBorder="1" applyAlignment="1">
      <alignment horizontal="left" vertical="center" wrapText="1"/>
    </xf>
    <xf numFmtId="0" fontId="11" fillId="0" borderId="17" xfId="0" applyFont="1" applyBorder="1" applyAlignment="1">
      <alignment horizontal="left" vertical="center" wrapTex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13"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4" fontId="4" fillId="0" borderId="41" xfId="0" applyNumberFormat="1" applyFont="1" applyBorder="1" applyAlignment="1">
      <alignment horizontal="left" vertical="center" wrapText="1"/>
    </xf>
    <xf numFmtId="4" fontId="4" fillId="0" borderId="42" xfId="0" applyNumberFormat="1" applyFont="1" applyBorder="1" applyAlignment="1">
      <alignment horizontal="left" vertical="center" wrapText="1"/>
    </xf>
    <xf numFmtId="14" fontId="6" fillId="4" borderId="20" xfId="0" applyNumberFormat="1" applyFont="1" applyFill="1" applyBorder="1" applyAlignment="1" applyProtection="1">
      <alignment horizontal="left" vertical="center"/>
      <protection locked="0"/>
    </xf>
    <xf numFmtId="0" fontId="6" fillId="0" borderId="8" xfId="0" applyFont="1" applyBorder="1" applyAlignment="1">
      <alignment horizontal="left" vertical="center"/>
    </xf>
    <xf numFmtId="0" fontId="6" fillId="0" borderId="7" xfId="0" applyFont="1" applyBorder="1" applyAlignment="1">
      <alignment horizontal="left" vertical="center"/>
    </xf>
    <xf numFmtId="0" fontId="7" fillId="0" borderId="32" xfId="0" applyFont="1" applyBorder="1" applyAlignment="1">
      <alignment horizontal="left" vertical="top"/>
    </xf>
    <xf numFmtId="0" fontId="7" fillId="0" borderId="33" xfId="0" applyFont="1" applyBorder="1" applyAlignment="1">
      <alignment horizontal="left" vertical="top"/>
    </xf>
    <xf numFmtId="0" fontId="16" fillId="4" borderId="26" xfId="0" applyFont="1" applyFill="1" applyBorder="1" applyAlignment="1">
      <alignment horizontal="left" vertical="top" wrapText="1" indent="1"/>
    </xf>
    <xf numFmtId="0" fontId="16" fillId="4" borderId="31" xfId="0" applyFont="1" applyFill="1" applyBorder="1" applyAlignment="1">
      <alignment horizontal="left" vertical="top" wrapText="1" indent="1"/>
    </xf>
  </cellXfs>
  <cellStyles count="3">
    <cellStyle name="Link" xfId="1" builtinId="8"/>
    <cellStyle name="Prozent" xfId="2" builtinId="5"/>
    <cellStyle name="Standard" xfId="0" builtinId="0"/>
  </cellStyles>
  <dxfs count="4">
    <dxf>
      <fill>
        <patternFill>
          <bgColor rgb="FF92D050"/>
        </patternFill>
      </fill>
    </dxf>
    <dxf>
      <fill>
        <patternFill>
          <bgColor rgb="FFFF5B5B"/>
        </patternFill>
      </fill>
    </dxf>
    <dxf>
      <fill>
        <patternFill>
          <bgColor rgb="FF92D050"/>
        </patternFill>
      </fill>
    </dxf>
    <dxf>
      <fill>
        <patternFill>
          <bgColor rgb="FFFF5B5B"/>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DD0806"/>
      <color rgb="FFFFF699"/>
      <color rgb="FFFF5B5B"/>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kulturrat.de/themen/honoraruntergrenzen/honorarempfehlungen/" TargetMode="External"/><Relationship Id="rId1" Type="http://schemas.openxmlformats.org/officeDocument/2006/relationships/hyperlink" Target="https://darstellende-kuenste.de/themen/soziale-l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L89"/>
  <sheetViews>
    <sheetView showGridLines="0" tabSelected="1" topLeftCell="A35" zoomScaleNormal="100" zoomScaleSheetLayoutView="75" workbookViewId="0">
      <selection activeCell="B73" sqref="B73:K73"/>
    </sheetView>
  </sheetViews>
  <sheetFormatPr baseColWidth="10" defaultColWidth="11.375" defaultRowHeight="12"/>
  <cols>
    <col min="1" max="1" width="5.625" style="110" bestFit="1" customWidth="1"/>
    <col min="2" max="2" width="35.75" style="127" customWidth="1"/>
    <col min="3" max="3" width="31.125" style="127" customWidth="1"/>
    <col min="4" max="4" width="55.875" style="110" customWidth="1"/>
    <col min="5" max="6" width="14.625" style="112" customWidth="1"/>
    <col min="7" max="7" width="14.625" style="125" customWidth="1"/>
    <col min="8" max="8" width="14.625" style="112" customWidth="1"/>
    <col min="9" max="10" width="14.625" style="125" customWidth="1"/>
    <col min="11" max="11" width="14.625" style="126" customWidth="1"/>
    <col min="12" max="16384" width="11.375" style="110"/>
  </cols>
  <sheetData>
    <row r="1" spans="1:12" ht="34.950000000000003" customHeight="1">
      <c r="A1" s="167" t="s">
        <v>21</v>
      </c>
      <c r="B1" s="167"/>
      <c r="C1" s="167"/>
      <c r="D1" s="172" t="s">
        <v>81</v>
      </c>
      <c r="E1" s="173"/>
      <c r="F1" s="173"/>
      <c r="G1" s="174"/>
      <c r="I1" s="167" t="s">
        <v>20</v>
      </c>
      <c r="J1" s="167"/>
      <c r="K1" s="167"/>
      <c r="L1" s="109"/>
    </row>
    <row r="2" spans="1:12" ht="26.4">
      <c r="A2" s="175" t="s">
        <v>53</v>
      </c>
      <c r="B2" s="175"/>
      <c r="C2" s="129"/>
      <c r="D2" s="129"/>
      <c r="E2" s="130" t="s">
        <v>22</v>
      </c>
      <c r="F2" s="129"/>
      <c r="G2" s="129"/>
      <c r="H2" s="129"/>
      <c r="I2" s="13" t="s">
        <v>126</v>
      </c>
      <c r="J2" s="110"/>
      <c r="K2" s="110"/>
    </row>
    <row r="3" spans="1:12" ht="27.6" customHeight="1">
      <c r="A3" s="176" t="s">
        <v>80</v>
      </c>
      <c r="B3" s="177"/>
      <c r="C3" s="178"/>
      <c r="D3" s="13"/>
      <c r="E3" s="170" t="s">
        <v>158</v>
      </c>
      <c r="F3" s="171"/>
      <c r="G3" s="13"/>
      <c r="H3" s="131"/>
      <c r="I3" s="133" t="s">
        <v>23</v>
      </c>
      <c r="J3" s="132" t="s">
        <v>9</v>
      </c>
      <c r="K3" s="134">
        <v>44310</v>
      </c>
    </row>
    <row r="4" spans="1:12" ht="7.2" customHeight="1">
      <c r="B4" s="9"/>
      <c r="C4" s="9"/>
      <c r="D4" s="13"/>
      <c r="E4" s="8"/>
      <c r="F4" s="8"/>
      <c r="G4" s="13"/>
      <c r="H4" s="13"/>
      <c r="I4" s="112"/>
      <c r="J4" s="110"/>
      <c r="K4" s="113"/>
    </row>
    <row r="5" spans="1:12" ht="7.2" customHeight="1" thickBot="1">
      <c r="A5" s="111"/>
      <c r="B5" s="9"/>
      <c r="C5" s="9"/>
      <c r="D5" s="13"/>
      <c r="E5" s="8"/>
      <c r="F5" s="8"/>
      <c r="G5" s="13"/>
      <c r="H5" s="13"/>
      <c r="I5" s="112"/>
      <c r="J5" s="110"/>
      <c r="K5" s="113"/>
    </row>
    <row r="6" spans="1:12" s="114" customFormat="1" ht="27" customHeight="1" thickBot="1">
      <c r="A6" s="149"/>
      <c r="B6" s="150" t="s">
        <v>4</v>
      </c>
      <c r="C6" s="151" t="s">
        <v>19</v>
      </c>
      <c r="D6" s="151" t="s">
        <v>3</v>
      </c>
      <c r="E6" s="152">
        <v>2025</v>
      </c>
      <c r="F6" s="152">
        <v>2026</v>
      </c>
      <c r="G6" s="152">
        <v>2027</v>
      </c>
      <c r="H6" s="152">
        <v>2028</v>
      </c>
      <c r="I6" s="152">
        <v>2029</v>
      </c>
      <c r="J6" s="153">
        <v>2030</v>
      </c>
      <c r="K6" s="154" t="s">
        <v>153</v>
      </c>
    </row>
    <row r="7" spans="1:12" s="3" customFormat="1" ht="19.5" customHeight="1" thickBot="1">
      <c r="A7" s="144" t="s">
        <v>26</v>
      </c>
      <c r="B7" s="187" t="s">
        <v>15</v>
      </c>
      <c r="C7" s="187"/>
      <c r="D7" s="187"/>
      <c r="E7" s="146" t="s">
        <v>50</v>
      </c>
      <c r="F7" s="146" t="s">
        <v>50</v>
      </c>
      <c r="G7" s="146" t="s">
        <v>50</v>
      </c>
      <c r="H7" s="146" t="s">
        <v>50</v>
      </c>
      <c r="I7" s="146" t="s">
        <v>50</v>
      </c>
      <c r="J7" s="147" t="s">
        <v>50</v>
      </c>
      <c r="K7" s="148" t="s">
        <v>50</v>
      </c>
    </row>
    <row r="8" spans="1:12" s="114" customFormat="1" ht="19.5" customHeight="1">
      <c r="A8" s="140" t="s">
        <v>10</v>
      </c>
      <c r="B8" s="155" t="s">
        <v>73</v>
      </c>
      <c r="C8" s="156"/>
      <c r="D8" s="157"/>
      <c r="E8" s="141"/>
      <c r="F8" s="141"/>
      <c r="G8" s="141"/>
      <c r="H8" s="141"/>
      <c r="I8" s="141"/>
      <c r="J8" s="142"/>
      <c r="K8" s="143"/>
    </row>
    <row r="9" spans="1:12" s="115" customFormat="1" ht="19.2" customHeight="1">
      <c r="A9" s="98" t="s">
        <v>16</v>
      </c>
      <c r="B9" s="2" t="s">
        <v>79</v>
      </c>
      <c r="C9" s="18" t="s">
        <v>80</v>
      </c>
      <c r="D9" s="1" t="s">
        <v>155</v>
      </c>
      <c r="E9" s="4">
        <f>3500*1</f>
        <v>3500</v>
      </c>
      <c r="F9" s="4">
        <f>3500*12</f>
        <v>42000</v>
      </c>
      <c r="G9" s="4">
        <f>3500*12</f>
        <v>42000</v>
      </c>
      <c r="H9" s="4">
        <f>3500*11</f>
        <v>38500</v>
      </c>
      <c r="I9" s="4">
        <v>0</v>
      </c>
      <c r="J9" s="28">
        <v>0</v>
      </c>
      <c r="K9" s="99">
        <f>SUM(E9:J9)</f>
        <v>126000</v>
      </c>
    </row>
    <row r="10" spans="1:12" s="116" customFormat="1" ht="19.5" customHeight="1">
      <c r="A10" s="98" t="s">
        <v>17</v>
      </c>
      <c r="B10" s="2" t="s">
        <v>82</v>
      </c>
      <c r="C10" s="18" t="s">
        <v>83</v>
      </c>
      <c r="D10" s="1" t="s">
        <v>156</v>
      </c>
      <c r="E10" s="4">
        <f>2000*1</f>
        <v>2000</v>
      </c>
      <c r="F10" s="4">
        <f>2000*12</f>
        <v>24000</v>
      </c>
      <c r="G10" s="4">
        <f>2000*12</f>
        <v>24000</v>
      </c>
      <c r="H10" s="4">
        <f>2000*11</f>
        <v>22000</v>
      </c>
      <c r="I10" s="4">
        <v>0</v>
      </c>
      <c r="J10" s="28">
        <v>0</v>
      </c>
      <c r="K10" s="99">
        <f t="shared" ref="K10:K11" si="0">SUM(E10:J10)</f>
        <v>72000</v>
      </c>
    </row>
    <row r="11" spans="1:12" s="116" customFormat="1" ht="19.5" customHeight="1">
      <c r="A11" s="98" t="s">
        <v>18</v>
      </c>
      <c r="B11" s="2" t="s">
        <v>127</v>
      </c>
      <c r="C11" s="1" t="s">
        <v>84</v>
      </c>
      <c r="D11" s="18" t="s">
        <v>128</v>
      </c>
      <c r="E11" s="4">
        <v>0</v>
      </c>
      <c r="F11" s="4">
        <f>2*6*800</f>
        <v>9600</v>
      </c>
      <c r="G11" s="4">
        <f>2*6*800</f>
        <v>9600</v>
      </c>
      <c r="H11" s="4">
        <f>2*6*800</f>
        <v>9600</v>
      </c>
      <c r="I11" s="4">
        <v>0</v>
      </c>
      <c r="J11" s="28">
        <v>0</v>
      </c>
      <c r="K11" s="99">
        <f t="shared" si="0"/>
        <v>28800</v>
      </c>
    </row>
    <row r="12" spans="1:12" s="116" customFormat="1" ht="19.5" customHeight="1">
      <c r="A12" s="98" t="s">
        <v>85</v>
      </c>
      <c r="B12" s="2" t="s">
        <v>129</v>
      </c>
      <c r="C12" s="73" t="s">
        <v>84</v>
      </c>
      <c r="D12" s="18" t="s">
        <v>130</v>
      </c>
      <c r="E12" s="4">
        <v>0</v>
      </c>
      <c r="F12" s="4">
        <f>10*350</f>
        <v>3500</v>
      </c>
      <c r="G12" s="4">
        <f>10*350</f>
        <v>3500</v>
      </c>
      <c r="H12" s="4">
        <f>10*350</f>
        <v>3500</v>
      </c>
      <c r="I12" s="4">
        <v>0</v>
      </c>
      <c r="J12" s="28">
        <v>0</v>
      </c>
      <c r="K12" s="99">
        <f t="shared" ref="K12:K17" si="1">SUM(E12:J12)</f>
        <v>10500</v>
      </c>
    </row>
    <row r="13" spans="1:12" s="116" customFormat="1" ht="26.4">
      <c r="A13" s="98" t="s">
        <v>86</v>
      </c>
      <c r="B13" s="2" t="s">
        <v>88</v>
      </c>
      <c r="C13" s="73" t="s">
        <v>89</v>
      </c>
      <c r="D13" s="76" t="s">
        <v>131</v>
      </c>
      <c r="E13" s="4">
        <f>625*1</f>
        <v>625</v>
      </c>
      <c r="F13" s="4">
        <f>1875*12</f>
        <v>22500</v>
      </c>
      <c r="G13" s="4">
        <f>1875*12</f>
        <v>22500</v>
      </c>
      <c r="H13" s="4">
        <f>1875*11</f>
        <v>20625</v>
      </c>
      <c r="I13" s="4">
        <v>0</v>
      </c>
      <c r="J13" s="28">
        <v>0</v>
      </c>
      <c r="K13" s="99">
        <f t="shared" si="1"/>
        <v>66250</v>
      </c>
    </row>
    <row r="14" spans="1:12" s="116" customFormat="1" ht="19.5" customHeight="1">
      <c r="A14" s="98" t="s">
        <v>87</v>
      </c>
      <c r="B14" s="2" t="s">
        <v>132</v>
      </c>
      <c r="C14" s="73" t="s">
        <v>84</v>
      </c>
      <c r="D14" s="18" t="s">
        <v>133</v>
      </c>
      <c r="E14" s="4">
        <v>0</v>
      </c>
      <c r="F14" s="4">
        <f>1875*6</f>
        <v>11250</v>
      </c>
      <c r="G14" s="4">
        <f>1875*12</f>
        <v>22500</v>
      </c>
      <c r="H14" s="4">
        <f>1875*11</f>
        <v>20625</v>
      </c>
      <c r="I14" s="4">
        <v>0</v>
      </c>
      <c r="J14" s="28">
        <v>0</v>
      </c>
      <c r="K14" s="99">
        <f t="shared" si="1"/>
        <v>54375</v>
      </c>
    </row>
    <row r="15" spans="1:12" s="116" customFormat="1" ht="19.5" customHeight="1">
      <c r="A15" s="98" t="s">
        <v>90</v>
      </c>
      <c r="B15" s="2" t="s">
        <v>134</v>
      </c>
      <c r="C15" s="73" t="s">
        <v>84</v>
      </c>
      <c r="D15" s="18" t="s">
        <v>157</v>
      </c>
      <c r="E15" s="4">
        <f>80*1</f>
        <v>80</v>
      </c>
      <c r="F15" s="4">
        <f>80*12</f>
        <v>960</v>
      </c>
      <c r="G15" s="4">
        <f>80*12</f>
        <v>960</v>
      </c>
      <c r="H15" s="4">
        <f>80*11</f>
        <v>880</v>
      </c>
      <c r="I15" s="4">
        <v>0</v>
      </c>
      <c r="J15" s="28">
        <v>0</v>
      </c>
      <c r="K15" s="99">
        <f t="shared" si="1"/>
        <v>2880</v>
      </c>
    </row>
    <row r="16" spans="1:12" s="116" customFormat="1" ht="26.4">
      <c r="A16" s="98" t="s">
        <v>95</v>
      </c>
      <c r="B16" s="2" t="s">
        <v>97</v>
      </c>
      <c r="C16" s="73" t="s">
        <v>84</v>
      </c>
      <c r="D16" s="77" t="s">
        <v>135</v>
      </c>
      <c r="E16" s="4">
        <v>0</v>
      </c>
      <c r="F16" s="4">
        <f>2*(41.5*15*4)*10</f>
        <v>49800</v>
      </c>
      <c r="G16" s="4">
        <f>2*(41.5*15*4)*10</f>
        <v>49800</v>
      </c>
      <c r="H16" s="4">
        <f>2*(41.5*15*4)*10</f>
        <v>49800</v>
      </c>
      <c r="I16" s="4">
        <v>0</v>
      </c>
      <c r="J16" s="28">
        <v>0</v>
      </c>
      <c r="K16" s="99">
        <f t="shared" si="1"/>
        <v>149400</v>
      </c>
    </row>
    <row r="17" spans="1:11" s="116" customFormat="1" ht="19.5" customHeight="1">
      <c r="A17" s="98" t="s">
        <v>96</v>
      </c>
      <c r="B17" s="2" t="s">
        <v>91</v>
      </c>
      <c r="C17" s="1" t="s">
        <v>92</v>
      </c>
      <c r="D17" s="18" t="s">
        <v>93</v>
      </c>
      <c r="E17" s="4">
        <f>(E11+E14)*5%</f>
        <v>0</v>
      </c>
      <c r="F17" s="4">
        <f>(F11+F14)*5%</f>
        <v>1042.5</v>
      </c>
      <c r="G17" s="4">
        <f t="shared" ref="G17:H17" si="2">(G11+G14)*5%</f>
        <v>1605</v>
      </c>
      <c r="H17" s="4">
        <f t="shared" si="2"/>
        <v>1511.25</v>
      </c>
      <c r="I17" s="4">
        <v>0</v>
      </c>
      <c r="J17" s="28">
        <v>0</v>
      </c>
      <c r="K17" s="99">
        <f t="shared" si="1"/>
        <v>4158.75</v>
      </c>
    </row>
    <row r="18" spans="1:11" s="116" customFormat="1" ht="9" customHeight="1">
      <c r="A18" s="100"/>
      <c r="B18" s="92"/>
      <c r="C18" s="15"/>
      <c r="D18" s="11"/>
      <c r="E18" s="12"/>
      <c r="F18" s="12"/>
      <c r="G18" s="12"/>
      <c r="H18" s="12"/>
      <c r="I18" s="12"/>
      <c r="J18" s="15"/>
      <c r="K18" s="101"/>
    </row>
    <row r="19" spans="1:11" s="117" customFormat="1" ht="16.2" customHeight="1">
      <c r="A19" s="102"/>
      <c r="B19" s="90" t="s">
        <v>8</v>
      </c>
      <c r="C19" s="91"/>
      <c r="D19" s="16"/>
      <c r="E19" s="17">
        <f t="shared" ref="E19:K19" si="3">SUM(E9:E18)</f>
        <v>6205</v>
      </c>
      <c r="F19" s="17">
        <f t="shared" si="3"/>
        <v>164652.5</v>
      </c>
      <c r="G19" s="17">
        <f t="shared" si="3"/>
        <v>176465</v>
      </c>
      <c r="H19" s="17">
        <f t="shared" si="3"/>
        <v>167041.25</v>
      </c>
      <c r="I19" s="17">
        <f t="shared" si="3"/>
        <v>0</v>
      </c>
      <c r="J19" s="22">
        <f t="shared" si="3"/>
        <v>0</v>
      </c>
      <c r="K19" s="103">
        <f t="shared" si="3"/>
        <v>514363.75</v>
      </c>
    </row>
    <row r="20" spans="1:11" s="116" customFormat="1" ht="19.5" customHeight="1">
      <c r="A20" s="104" t="s">
        <v>27</v>
      </c>
      <c r="B20" s="165" t="s">
        <v>34</v>
      </c>
      <c r="C20" s="165"/>
      <c r="D20" s="166"/>
      <c r="E20" s="5"/>
      <c r="F20" s="5"/>
      <c r="G20" s="5"/>
      <c r="H20" s="5"/>
      <c r="I20" s="5"/>
      <c r="J20" s="29"/>
      <c r="K20" s="105"/>
    </row>
    <row r="21" spans="1:11" s="116" customFormat="1" ht="19.5" customHeight="1">
      <c r="A21" s="121" t="s">
        <v>28</v>
      </c>
      <c r="B21" s="10" t="s">
        <v>117</v>
      </c>
      <c r="C21" s="161" t="s">
        <v>154</v>
      </c>
      <c r="D21" s="162"/>
      <c r="E21" s="4">
        <f>50*1</f>
        <v>50</v>
      </c>
      <c r="F21" s="4">
        <f>50*12</f>
        <v>600</v>
      </c>
      <c r="G21" s="4">
        <f>50*12</f>
        <v>600</v>
      </c>
      <c r="H21" s="4">
        <f>50*11</f>
        <v>550</v>
      </c>
      <c r="I21" s="4">
        <v>0</v>
      </c>
      <c r="J21" s="28">
        <v>0</v>
      </c>
      <c r="K21" s="99">
        <f>SUM(E21:J21)</f>
        <v>1800</v>
      </c>
    </row>
    <row r="22" spans="1:11" s="116" customFormat="1" ht="19.5" customHeight="1">
      <c r="A22" s="121" t="s">
        <v>29</v>
      </c>
      <c r="B22" s="10" t="s">
        <v>94</v>
      </c>
      <c r="C22" s="161" t="s">
        <v>165</v>
      </c>
      <c r="D22" s="162"/>
      <c r="E22" s="4">
        <f>350*1</f>
        <v>350</v>
      </c>
      <c r="F22" s="4">
        <f>(350*12)+(2000*10)</f>
        <v>24200</v>
      </c>
      <c r="G22" s="4">
        <f>(350*12)+(2000*12)</f>
        <v>28200</v>
      </c>
      <c r="H22" s="4">
        <f>(350*11)+(2000*11)</f>
        <v>25850</v>
      </c>
      <c r="I22" s="4">
        <v>0</v>
      </c>
      <c r="J22" s="28">
        <v>0</v>
      </c>
      <c r="K22" s="99">
        <f t="shared" ref="K22:K25" si="4">SUM(E22:J22)</f>
        <v>78600</v>
      </c>
    </row>
    <row r="23" spans="1:11" s="116" customFormat="1" ht="19.5" customHeight="1">
      <c r="A23" s="121" t="s">
        <v>30</v>
      </c>
      <c r="B23" s="10" t="s">
        <v>98</v>
      </c>
      <c r="C23" s="161" t="s">
        <v>112</v>
      </c>
      <c r="D23" s="162"/>
      <c r="E23" s="4">
        <v>0</v>
      </c>
      <c r="F23" s="4">
        <v>2500</v>
      </c>
      <c r="G23" s="4">
        <v>2500</v>
      </c>
      <c r="H23" s="4">
        <v>2500</v>
      </c>
      <c r="I23" s="4">
        <v>0</v>
      </c>
      <c r="J23" s="28">
        <v>0</v>
      </c>
      <c r="K23" s="99">
        <f t="shared" si="4"/>
        <v>7500</v>
      </c>
    </row>
    <row r="24" spans="1:11" s="116" customFormat="1" ht="19.5" customHeight="1">
      <c r="A24" s="121" t="s">
        <v>113</v>
      </c>
      <c r="B24" s="10" t="s">
        <v>114</v>
      </c>
      <c r="C24" s="161" t="s">
        <v>166</v>
      </c>
      <c r="D24" s="162"/>
      <c r="E24" s="4">
        <v>3000</v>
      </c>
      <c r="F24" s="4">
        <v>5000</v>
      </c>
      <c r="G24" s="4">
        <v>5000</v>
      </c>
      <c r="H24" s="4">
        <v>5000</v>
      </c>
      <c r="I24" s="4">
        <v>0</v>
      </c>
      <c r="J24" s="28">
        <v>0</v>
      </c>
      <c r="K24" s="99">
        <f t="shared" si="4"/>
        <v>18000</v>
      </c>
    </row>
    <row r="25" spans="1:11" s="116" customFormat="1" ht="19.5" customHeight="1">
      <c r="A25" s="121" t="s">
        <v>115</v>
      </c>
      <c r="B25" s="10" t="s">
        <v>116</v>
      </c>
      <c r="C25" s="161" t="s">
        <v>136</v>
      </c>
      <c r="D25" s="162"/>
      <c r="E25" s="4">
        <f>2*100</f>
        <v>200</v>
      </c>
      <c r="F25" s="4">
        <f>12*100</f>
        <v>1200</v>
      </c>
      <c r="G25" s="4">
        <f t="shared" ref="G25" si="5">12*100</f>
        <v>1200</v>
      </c>
      <c r="H25" s="4">
        <f>11*100</f>
        <v>1100</v>
      </c>
      <c r="I25" s="4">
        <v>0</v>
      </c>
      <c r="J25" s="28">
        <v>0</v>
      </c>
      <c r="K25" s="99">
        <f t="shared" si="4"/>
        <v>3700</v>
      </c>
    </row>
    <row r="26" spans="1:11" s="116" customFormat="1" ht="9" customHeight="1">
      <c r="A26" s="100"/>
      <c r="B26" s="92"/>
      <c r="C26" s="15"/>
      <c r="D26" s="11"/>
      <c r="E26" s="12"/>
      <c r="F26" s="12"/>
      <c r="G26" s="12"/>
      <c r="H26" s="12"/>
      <c r="I26" s="12"/>
      <c r="J26" s="15"/>
      <c r="K26" s="101"/>
    </row>
    <row r="27" spans="1:11" s="117" customFormat="1" ht="18.600000000000001" customHeight="1">
      <c r="A27" s="122"/>
      <c r="B27" s="90" t="s">
        <v>11</v>
      </c>
      <c r="C27" s="91"/>
      <c r="D27" s="21"/>
      <c r="E27" s="17">
        <f>SUM(E21:E26)</f>
        <v>3600</v>
      </c>
      <c r="F27" s="17">
        <f t="shared" ref="F27:J27" si="6">SUM(F21:F26)</f>
        <v>33500</v>
      </c>
      <c r="G27" s="17">
        <f t="shared" si="6"/>
        <v>37500</v>
      </c>
      <c r="H27" s="17">
        <f t="shared" si="6"/>
        <v>35000</v>
      </c>
      <c r="I27" s="17">
        <f t="shared" si="6"/>
        <v>0</v>
      </c>
      <c r="J27" s="17">
        <f t="shared" si="6"/>
        <v>0</v>
      </c>
      <c r="K27" s="103">
        <f>SUM(K21:K26)</f>
        <v>109600</v>
      </c>
    </row>
    <row r="28" spans="1:11" s="116" customFormat="1" ht="19.5" customHeight="1">
      <c r="A28" s="104" t="s">
        <v>31</v>
      </c>
      <c r="B28" s="14" t="s">
        <v>35</v>
      </c>
      <c r="C28" s="85"/>
      <c r="D28" s="75"/>
      <c r="E28" s="5"/>
      <c r="F28" s="5"/>
      <c r="G28" s="5"/>
      <c r="H28" s="5"/>
      <c r="I28" s="5"/>
      <c r="J28" s="29"/>
      <c r="K28" s="105"/>
    </row>
    <row r="29" spans="1:11" s="116" customFormat="1" ht="19.5" customHeight="1">
      <c r="A29" s="106" t="s">
        <v>0</v>
      </c>
      <c r="B29" s="10" t="s">
        <v>39</v>
      </c>
      <c r="C29" s="168" t="s">
        <v>159</v>
      </c>
      <c r="D29" s="169"/>
      <c r="E29" s="4">
        <v>132.5</v>
      </c>
      <c r="F29" s="4">
        <f>2*5*250</f>
        <v>2500</v>
      </c>
      <c r="G29" s="4">
        <f>4*5*250</f>
        <v>5000</v>
      </c>
      <c r="H29" s="4">
        <f>4*5*250</f>
        <v>5000</v>
      </c>
      <c r="I29" s="4">
        <v>0</v>
      </c>
      <c r="J29" s="28">
        <v>0</v>
      </c>
      <c r="K29" s="99">
        <f t="shared" ref="K29:K32" si="7">SUM(E29:J29)</f>
        <v>12632.5</v>
      </c>
    </row>
    <row r="30" spans="1:11" s="116" customFormat="1" ht="19.5" customHeight="1">
      <c r="A30" s="106" t="s">
        <v>1</v>
      </c>
      <c r="B30" s="10" t="s">
        <v>40</v>
      </c>
      <c r="C30" s="168" t="s">
        <v>99</v>
      </c>
      <c r="D30" s="169"/>
      <c r="E30" s="4">
        <v>0</v>
      </c>
      <c r="F30" s="4">
        <f>2*10*14</f>
        <v>280</v>
      </c>
      <c r="G30" s="4">
        <f>4*10*14</f>
        <v>560</v>
      </c>
      <c r="H30" s="4">
        <f>4*10*14</f>
        <v>560</v>
      </c>
      <c r="I30" s="4">
        <v>0</v>
      </c>
      <c r="J30" s="28">
        <v>0</v>
      </c>
      <c r="K30" s="99">
        <f t="shared" si="7"/>
        <v>1400</v>
      </c>
    </row>
    <row r="31" spans="1:11" s="116" customFormat="1" ht="19.5" customHeight="1">
      <c r="A31" s="106" t="s">
        <v>2</v>
      </c>
      <c r="B31" s="10" t="s">
        <v>41</v>
      </c>
      <c r="C31" s="168" t="s">
        <v>111</v>
      </c>
      <c r="D31" s="169"/>
      <c r="E31" s="4">
        <v>0</v>
      </c>
      <c r="F31" s="4">
        <f>2*5*70</f>
        <v>700</v>
      </c>
      <c r="G31" s="4">
        <f>4*5*70</f>
        <v>1400</v>
      </c>
      <c r="H31" s="4">
        <f>4*5*70</f>
        <v>1400</v>
      </c>
      <c r="I31" s="4">
        <v>0</v>
      </c>
      <c r="J31" s="28">
        <v>0</v>
      </c>
      <c r="K31" s="99">
        <f t="shared" si="7"/>
        <v>3500</v>
      </c>
    </row>
    <row r="32" spans="1:11" s="116" customFormat="1" ht="19.5" customHeight="1">
      <c r="A32" s="106" t="s">
        <v>42</v>
      </c>
      <c r="B32" s="10" t="s">
        <v>43</v>
      </c>
      <c r="C32" s="168" t="s">
        <v>120</v>
      </c>
      <c r="D32" s="169"/>
      <c r="E32" s="4">
        <f>2*50</f>
        <v>100</v>
      </c>
      <c r="F32" s="4">
        <f>6*50</f>
        <v>300</v>
      </c>
      <c r="G32" s="4">
        <f t="shared" ref="G32:H32" si="8">6*50</f>
        <v>300</v>
      </c>
      <c r="H32" s="4">
        <f t="shared" si="8"/>
        <v>300</v>
      </c>
      <c r="I32" s="4">
        <v>0</v>
      </c>
      <c r="J32" s="28">
        <v>0</v>
      </c>
      <c r="K32" s="99">
        <f t="shared" si="7"/>
        <v>1000</v>
      </c>
    </row>
    <row r="33" spans="1:11" s="116" customFormat="1" ht="9" customHeight="1">
      <c r="A33" s="100"/>
      <c r="B33" s="92"/>
      <c r="C33" s="15"/>
      <c r="D33" s="11"/>
      <c r="E33" s="12"/>
      <c r="F33" s="12"/>
      <c r="G33" s="12"/>
      <c r="H33" s="12"/>
      <c r="I33" s="12"/>
      <c r="J33" s="15"/>
      <c r="K33" s="101"/>
    </row>
    <row r="34" spans="1:11" s="117" customFormat="1" ht="19.5" customHeight="1">
      <c r="A34" s="122"/>
      <c r="B34" s="90" t="s">
        <v>12</v>
      </c>
      <c r="C34" s="91"/>
      <c r="D34" s="21"/>
      <c r="E34" s="17">
        <f>SUM(E29:E33)</f>
        <v>232.5</v>
      </c>
      <c r="F34" s="17">
        <f t="shared" ref="F34:J34" si="9">SUM(F29:F33)</f>
        <v>3780</v>
      </c>
      <c r="G34" s="17">
        <f t="shared" si="9"/>
        <v>7260</v>
      </c>
      <c r="H34" s="17">
        <f t="shared" si="9"/>
        <v>7260</v>
      </c>
      <c r="I34" s="17">
        <f t="shared" si="9"/>
        <v>0</v>
      </c>
      <c r="J34" s="17">
        <f t="shared" si="9"/>
        <v>0</v>
      </c>
      <c r="K34" s="103">
        <f>SUM(K29:K33)</f>
        <v>18532.5</v>
      </c>
    </row>
    <row r="35" spans="1:11" s="116" customFormat="1" ht="20.25" customHeight="1">
      <c r="A35" s="104" t="s">
        <v>32</v>
      </c>
      <c r="B35" s="165" t="s">
        <v>75</v>
      </c>
      <c r="C35" s="165"/>
      <c r="D35" s="166"/>
      <c r="E35" s="5"/>
      <c r="F35" s="5"/>
      <c r="G35" s="5"/>
      <c r="H35" s="5"/>
      <c r="I35" s="5"/>
      <c r="J35" s="29"/>
      <c r="K35" s="105"/>
    </row>
    <row r="36" spans="1:11" s="116" customFormat="1" ht="19.5" customHeight="1">
      <c r="A36" s="106" t="s">
        <v>33</v>
      </c>
      <c r="B36" s="10" t="s">
        <v>101</v>
      </c>
      <c r="C36" s="168" t="s">
        <v>137</v>
      </c>
      <c r="D36" s="169"/>
      <c r="E36" s="4">
        <v>0</v>
      </c>
      <c r="F36" s="4">
        <f>4*250</f>
        <v>1000</v>
      </c>
      <c r="G36" s="4">
        <f>6*250</f>
        <v>1500</v>
      </c>
      <c r="H36" s="4">
        <f>5*250</f>
        <v>1250</v>
      </c>
      <c r="I36" s="4">
        <v>0</v>
      </c>
      <c r="J36" s="28">
        <v>0</v>
      </c>
      <c r="K36" s="99">
        <f t="shared" ref="K36:K38" si="10">SUM(E36:J36)</f>
        <v>3750</v>
      </c>
    </row>
    <row r="37" spans="1:11" s="116" customFormat="1" ht="19.5" customHeight="1">
      <c r="A37" s="106" t="s">
        <v>5</v>
      </c>
      <c r="B37" s="10" t="s">
        <v>100</v>
      </c>
      <c r="C37" s="161" t="s">
        <v>163</v>
      </c>
      <c r="D37" s="162"/>
      <c r="E37" s="4">
        <v>0</v>
      </c>
      <c r="F37" s="4">
        <f>633.5+(6*12)</f>
        <v>705.5</v>
      </c>
      <c r="G37" s="4">
        <f>473+(6*12)</f>
        <v>545</v>
      </c>
      <c r="H37" s="4">
        <f>6*11</f>
        <v>66</v>
      </c>
      <c r="I37" s="4">
        <v>0</v>
      </c>
      <c r="J37" s="28">
        <v>0</v>
      </c>
      <c r="K37" s="99">
        <f t="shared" si="10"/>
        <v>1316.5</v>
      </c>
    </row>
    <row r="38" spans="1:11" s="116" customFormat="1" ht="19.5" customHeight="1">
      <c r="A38" s="135" t="s">
        <v>121</v>
      </c>
      <c r="B38" s="95" t="s">
        <v>122</v>
      </c>
      <c r="C38" s="161"/>
      <c r="D38" s="162"/>
      <c r="E38" s="86">
        <v>0</v>
      </c>
      <c r="F38" s="86">
        <v>0</v>
      </c>
      <c r="G38" s="86">
        <v>0</v>
      </c>
      <c r="H38" s="86">
        <v>2615.25</v>
      </c>
      <c r="I38" s="86">
        <v>0</v>
      </c>
      <c r="J38" s="87">
        <v>0</v>
      </c>
      <c r="K38" s="99">
        <f t="shared" si="10"/>
        <v>2615.25</v>
      </c>
    </row>
    <row r="39" spans="1:11" s="116" customFormat="1" ht="9" customHeight="1">
      <c r="A39" s="100"/>
      <c r="B39" s="92"/>
      <c r="C39" s="15"/>
      <c r="D39" s="11"/>
      <c r="E39" s="12"/>
      <c r="F39" s="12"/>
      <c r="G39" s="12"/>
      <c r="H39" s="12"/>
      <c r="I39" s="12"/>
      <c r="J39" s="15"/>
      <c r="K39" s="101"/>
    </row>
    <row r="40" spans="1:11" s="117" customFormat="1" ht="19.5" customHeight="1">
      <c r="A40" s="122"/>
      <c r="B40" s="90" t="s">
        <v>13</v>
      </c>
      <c r="C40" s="91"/>
      <c r="D40" s="21"/>
      <c r="E40" s="17">
        <f t="shared" ref="E40:K40" si="11">SUM(E36:E39)</f>
        <v>0</v>
      </c>
      <c r="F40" s="17">
        <f t="shared" si="11"/>
        <v>1705.5</v>
      </c>
      <c r="G40" s="17">
        <f t="shared" si="11"/>
        <v>2045</v>
      </c>
      <c r="H40" s="17">
        <f t="shared" si="11"/>
        <v>3931.25</v>
      </c>
      <c r="I40" s="17">
        <f t="shared" si="11"/>
        <v>0</v>
      </c>
      <c r="J40" s="17">
        <f t="shared" si="11"/>
        <v>0</v>
      </c>
      <c r="K40" s="103">
        <f t="shared" si="11"/>
        <v>7681.75</v>
      </c>
    </row>
    <row r="41" spans="1:11" s="116" customFormat="1" ht="19.2" customHeight="1">
      <c r="A41" s="104" t="s">
        <v>36</v>
      </c>
      <c r="B41" s="165" t="s">
        <v>76</v>
      </c>
      <c r="C41" s="165"/>
      <c r="D41" s="166"/>
      <c r="E41" s="5"/>
      <c r="F41" s="5"/>
      <c r="G41" s="5"/>
      <c r="H41" s="5"/>
      <c r="I41" s="5"/>
      <c r="J41" s="29"/>
      <c r="K41" s="105"/>
    </row>
    <row r="42" spans="1:11" s="116" customFormat="1" ht="19.5" customHeight="1">
      <c r="A42" s="106" t="s">
        <v>6</v>
      </c>
      <c r="B42" s="10" t="s">
        <v>102</v>
      </c>
      <c r="C42" s="161" t="s">
        <v>160</v>
      </c>
      <c r="D42" s="162"/>
      <c r="E42" s="4">
        <v>0</v>
      </c>
      <c r="F42" s="4">
        <v>2632</v>
      </c>
      <c r="G42" s="4">
        <v>0</v>
      </c>
      <c r="H42" s="4">
        <v>0</v>
      </c>
      <c r="I42" s="4">
        <v>0</v>
      </c>
      <c r="J42" s="28">
        <v>0</v>
      </c>
      <c r="K42" s="99">
        <f t="shared" ref="K42" si="12">SUM(E42:J42)</f>
        <v>2632</v>
      </c>
    </row>
    <row r="43" spans="1:11" s="116" customFormat="1" ht="9" customHeight="1">
      <c r="A43" s="100"/>
      <c r="B43" s="92"/>
      <c r="C43" s="15"/>
      <c r="D43" s="11"/>
      <c r="E43" s="12"/>
      <c r="F43" s="12"/>
      <c r="G43" s="12"/>
      <c r="H43" s="12"/>
      <c r="I43" s="12"/>
      <c r="J43" s="15"/>
      <c r="K43" s="101"/>
    </row>
    <row r="44" spans="1:11" s="118" customFormat="1" ht="20.25" customHeight="1">
      <c r="A44" s="136"/>
      <c r="B44" s="90" t="s">
        <v>14</v>
      </c>
      <c r="C44" s="91"/>
      <c r="D44" s="21"/>
      <c r="E44" s="17">
        <f>SUM(E42:E43)</f>
        <v>0</v>
      </c>
      <c r="F44" s="17">
        <f t="shared" ref="F44:J44" si="13">SUM(F42:F43)</f>
        <v>2632</v>
      </c>
      <c r="G44" s="17">
        <f t="shared" si="13"/>
        <v>0</v>
      </c>
      <c r="H44" s="17">
        <f t="shared" si="13"/>
        <v>0</v>
      </c>
      <c r="I44" s="17">
        <f t="shared" si="13"/>
        <v>0</v>
      </c>
      <c r="J44" s="17">
        <f t="shared" si="13"/>
        <v>0</v>
      </c>
      <c r="K44" s="103">
        <f>SUM(K42:K43)</f>
        <v>2632</v>
      </c>
    </row>
    <row r="45" spans="1:11" s="116" customFormat="1" ht="19.2" customHeight="1">
      <c r="A45" s="104" t="s">
        <v>37</v>
      </c>
      <c r="B45" s="165" t="s">
        <v>77</v>
      </c>
      <c r="C45" s="165"/>
      <c r="D45" s="166"/>
      <c r="E45" s="5"/>
      <c r="F45" s="5"/>
      <c r="G45" s="5"/>
      <c r="H45" s="5"/>
      <c r="I45" s="5"/>
      <c r="J45" s="29"/>
      <c r="K45" s="105"/>
    </row>
    <row r="46" spans="1:11" s="116" customFormat="1" ht="19.5" customHeight="1">
      <c r="A46" s="121" t="s">
        <v>44</v>
      </c>
      <c r="B46" s="10" t="s">
        <v>104</v>
      </c>
      <c r="C46" s="161" t="s">
        <v>138</v>
      </c>
      <c r="D46" s="162"/>
      <c r="E46" s="4">
        <v>0</v>
      </c>
      <c r="F46" s="4">
        <f>20*500</f>
        <v>10000</v>
      </c>
      <c r="G46" s="4">
        <f t="shared" ref="G46:H46" si="14">20*500</f>
        <v>10000</v>
      </c>
      <c r="H46" s="4">
        <f t="shared" si="14"/>
        <v>10000</v>
      </c>
      <c r="I46" s="4">
        <v>0</v>
      </c>
      <c r="J46" s="28">
        <v>0</v>
      </c>
      <c r="K46" s="99">
        <f t="shared" ref="K46:K49" si="15">SUM(E46:J46)</f>
        <v>30000</v>
      </c>
    </row>
    <row r="47" spans="1:11" s="116" customFormat="1" ht="19.5" customHeight="1">
      <c r="A47" s="121" t="s">
        <v>45</v>
      </c>
      <c r="B47" s="10" t="s">
        <v>103</v>
      </c>
      <c r="C47" s="161" t="s">
        <v>108</v>
      </c>
      <c r="D47" s="162"/>
      <c r="E47" s="4">
        <v>0</v>
      </c>
      <c r="F47" s="4">
        <f>2*10*1000</f>
        <v>20000</v>
      </c>
      <c r="G47" s="4">
        <f t="shared" ref="G47:H47" si="16">2*10*1000</f>
        <v>20000</v>
      </c>
      <c r="H47" s="4">
        <f t="shared" si="16"/>
        <v>20000</v>
      </c>
      <c r="I47" s="4">
        <v>0</v>
      </c>
      <c r="J47" s="28">
        <v>0</v>
      </c>
      <c r="K47" s="99">
        <f t="shared" si="15"/>
        <v>60000</v>
      </c>
    </row>
    <row r="48" spans="1:11" ht="19.5" customHeight="1">
      <c r="A48" s="137" t="s">
        <v>46</v>
      </c>
      <c r="B48" s="10" t="s">
        <v>105</v>
      </c>
      <c r="C48" s="161" t="s">
        <v>164</v>
      </c>
      <c r="D48" s="162"/>
      <c r="E48" s="4">
        <v>0</v>
      </c>
      <c r="F48" s="4">
        <v>2000</v>
      </c>
      <c r="G48" s="4">
        <f>10*2*500</f>
        <v>10000</v>
      </c>
      <c r="H48" s="4">
        <f>10*2*500</f>
        <v>10000</v>
      </c>
      <c r="I48" s="4">
        <v>0</v>
      </c>
      <c r="J48" s="28">
        <v>0</v>
      </c>
      <c r="K48" s="99">
        <f t="shared" si="15"/>
        <v>22000</v>
      </c>
    </row>
    <row r="49" spans="1:11" s="116" customFormat="1" ht="19.5" customHeight="1">
      <c r="A49" s="98" t="s">
        <v>118</v>
      </c>
      <c r="B49" s="2" t="s">
        <v>91</v>
      </c>
      <c r="C49" s="163" t="s">
        <v>119</v>
      </c>
      <c r="D49" s="164"/>
      <c r="E49" s="4">
        <v>0</v>
      </c>
      <c r="F49" s="4">
        <f>(F46+F47)*5%</f>
        <v>1500</v>
      </c>
      <c r="G49" s="4">
        <f t="shared" ref="G49:J49" si="17">(G46+G47)*5%</f>
        <v>1500</v>
      </c>
      <c r="H49" s="4">
        <f t="shared" si="17"/>
        <v>1500</v>
      </c>
      <c r="I49" s="4">
        <f t="shared" si="17"/>
        <v>0</v>
      </c>
      <c r="J49" s="4">
        <f t="shared" si="17"/>
        <v>0</v>
      </c>
      <c r="K49" s="99">
        <f t="shared" si="15"/>
        <v>4500</v>
      </c>
    </row>
    <row r="50" spans="1:11" s="116" customFormat="1" ht="4.2" customHeight="1">
      <c r="A50" s="100"/>
      <c r="B50" s="92"/>
      <c r="C50" s="15"/>
      <c r="D50" s="11"/>
      <c r="E50" s="12"/>
      <c r="F50" s="12"/>
      <c r="G50" s="12"/>
      <c r="H50" s="12"/>
      <c r="I50" s="12"/>
      <c r="J50" s="15"/>
      <c r="K50" s="101"/>
    </row>
    <row r="51" spans="1:11" s="118" customFormat="1" ht="20.25" customHeight="1" thickBot="1">
      <c r="A51" s="138"/>
      <c r="B51" s="93" t="s">
        <v>38</v>
      </c>
      <c r="C51" s="94"/>
      <c r="D51" s="83"/>
      <c r="E51" s="84">
        <f>SUM(E46:E50)</f>
        <v>0</v>
      </c>
      <c r="F51" s="84">
        <f t="shared" ref="F51:I51" si="18">SUM(F46:F50)</f>
        <v>33500</v>
      </c>
      <c r="G51" s="84">
        <f t="shared" si="18"/>
        <v>41500</v>
      </c>
      <c r="H51" s="84">
        <f t="shared" si="18"/>
        <v>41500</v>
      </c>
      <c r="I51" s="84">
        <f t="shared" si="18"/>
        <v>0</v>
      </c>
      <c r="J51" s="84">
        <f>SUM(J46:J50)</f>
        <v>0</v>
      </c>
      <c r="K51" s="139">
        <f>SUM(K46:K50)</f>
        <v>116500</v>
      </c>
    </row>
    <row r="52" spans="1:11" s="120" customFormat="1" ht="26.1" customHeight="1" thickBot="1">
      <c r="A52" s="119"/>
      <c r="B52" s="30" t="s">
        <v>7</v>
      </c>
      <c r="C52" s="30"/>
      <c r="D52" s="31"/>
      <c r="E52" s="32">
        <f t="shared" ref="E52:K52" si="19">E51+E44+E40+E34+E27+E19</f>
        <v>10037.5</v>
      </c>
      <c r="F52" s="32">
        <f t="shared" si="19"/>
        <v>239770</v>
      </c>
      <c r="G52" s="32">
        <f t="shared" si="19"/>
        <v>264770</v>
      </c>
      <c r="H52" s="32">
        <f t="shared" si="19"/>
        <v>254732.5</v>
      </c>
      <c r="I52" s="32">
        <f t="shared" si="19"/>
        <v>0</v>
      </c>
      <c r="J52" s="33">
        <f t="shared" si="19"/>
        <v>0</v>
      </c>
      <c r="K52" s="23">
        <f t="shared" si="19"/>
        <v>769310</v>
      </c>
    </row>
    <row r="53" spans="1:11" s="120" customFormat="1" ht="10.95" customHeight="1" thickBot="1">
      <c r="B53" s="19"/>
      <c r="C53" s="19"/>
      <c r="D53" s="19"/>
      <c r="E53" s="20"/>
      <c r="F53" s="20"/>
      <c r="G53" s="20"/>
      <c r="H53" s="20"/>
      <c r="I53" s="20"/>
      <c r="J53" s="20"/>
      <c r="K53" s="20"/>
    </row>
    <row r="54" spans="1:11" s="3" customFormat="1" ht="19.5" customHeight="1" thickBot="1">
      <c r="A54" s="144" t="s">
        <v>47</v>
      </c>
      <c r="B54" s="145" t="s">
        <v>48</v>
      </c>
      <c r="C54" s="145"/>
      <c r="D54" s="145"/>
      <c r="E54" s="146" t="s">
        <v>50</v>
      </c>
      <c r="F54" s="146" t="s">
        <v>50</v>
      </c>
      <c r="G54" s="146" t="s">
        <v>50</v>
      </c>
      <c r="H54" s="146" t="s">
        <v>50</v>
      </c>
      <c r="I54" s="146" t="s">
        <v>50</v>
      </c>
      <c r="J54" s="147" t="s">
        <v>50</v>
      </c>
      <c r="K54" s="148" t="s">
        <v>50</v>
      </c>
    </row>
    <row r="55" spans="1:11" s="114" customFormat="1" ht="19.5" customHeight="1">
      <c r="A55" s="140" t="s">
        <v>10</v>
      </c>
      <c r="B55" s="188" t="s">
        <v>151</v>
      </c>
      <c r="C55" s="188"/>
      <c r="D55" s="189"/>
      <c r="E55" s="141"/>
      <c r="F55" s="141"/>
      <c r="G55" s="141"/>
      <c r="H55" s="141"/>
      <c r="I55" s="141"/>
      <c r="J55" s="142"/>
      <c r="K55" s="143"/>
    </row>
    <row r="56" spans="1:11" s="115" customFormat="1" ht="19.5" customHeight="1">
      <c r="A56" s="98" t="s">
        <v>16</v>
      </c>
      <c r="B56" s="10" t="s">
        <v>139</v>
      </c>
      <c r="C56" s="163" t="s">
        <v>106</v>
      </c>
      <c r="D56" s="164"/>
      <c r="E56" s="4">
        <v>0</v>
      </c>
      <c r="F56" s="4">
        <v>85000</v>
      </c>
      <c r="G56" s="4">
        <v>90000</v>
      </c>
      <c r="H56" s="4">
        <v>90000</v>
      </c>
      <c r="I56" s="4">
        <v>0</v>
      </c>
      <c r="J56" s="28">
        <v>0</v>
      </c>
      <c r="K56" s="99">
        <f>SUM(E56:J56)</f>
        <v>265000</v>
      </c>
    </row>
    <row r="57" spans="1:11" s="116" customFormat="1" ht="19.5" customHeight="1">
      <c r="A57" s="98" t="s">
        <v>17</v>
      </c>
      <c r="B57" s="10" t="s">
        <v>140</v>
      </c>
      <c r="C57" s="163" t="s">
        <v>107</v>
      </c>
      <c r="D57" s="164"/>
      <c r="E57" s="4">
        <v>0</v>
      </c>
      <c r="F57" s="4">
        <v>0</v>
      </c>
      <c r="G57" s="4">
        <v>20000</v>
      </c>
      <c r="H57" s="4">
        <v>20000</v>
      </c>
      <c r="I57" s="4">
        <v>0</v>
      </c>
      <c r="J57" s="28">
        <v>0</v>
      </c>
      <c r="K57" s="99">
        <f t="shared" ref="K57:K58" si="20">SUM(E57:J57)</f>
        <v>40000</v>
      </c>
    </row>
    <row r="58" spans="1:11" s="116" customFormat="1" ht="19.5" customHeight="1">
      <c r="A58" s="98" t="s">
        <v>18</v>
      </c>
      <c r="B58" s="10" t="s">
        <v>141</v>
      </c>
      <c r="C58" s="163" t="s">
        <v>162</v>
      </c>
      <c r="D58" s="164"/>
      <c r="E58" s="4">
        <v>0</v>
      </c>
      <c r="F58" s="4">
        <v>30000</v>
      </c>
      <c r="G58" s="4">
        <v>30000</v>
      </c>
      <c r="H58" s="4">
        <v>30000</v>
      </c>
      <c r="I58" s="4">
        <v>0</v>
      </c>
      <c r="J58" s="28">
        <v>0</v>
      </c>
      <c r="K58" s="99">
        <f t="shared" si="20"/>
        <v>90000</v>
      </c>
    </row>
    <row r="59" spans="1:11" s="116" customFormat="1" ht="4.2" customHeight="1">
      <c r="A59" s="100"/>
      <c r="B59" s="92"/>
      <c r="C59" s="15"/>
      <c r="D59" s="11"/>
      <c r="E59" s="12"/>
      <c r="F59" s="12"/>
      <c r="G59" s="12"/>
      <c r="H59" s="12"/>
      <c r="I59" s="12"/>
      <c r="J59" s="15"/>
      <c r="K59" s="101"/>
    </row>
    <row r="60" spans="1:11" s="117" customFormat="1" ht="16.2" customHeight="1">
      <c r="A60" s="102"/>
      <c r="B60" s="90" t="s">
        <v>8</v>
      </c>
      <c r="C60" s="91"/>
      <c r="D60" s="16"/>
      <c r="E60" s="17">
        <f t="shared" ref="E60:K60" si="21">SUM(E56:E59)</f>
        <v>0</v>
      </c>
      <c r="F60" s="17">
        <f t="shared" si="21"/>
        <v>115000</v>
      </c>
      <c r="G60" s="17">
        <f t="shared" si="21"/>
        <v>140000</v>
      </c>
      <c r="H60" s="17">
        <f t="shared" si="21"/>
        <v>140000</v>
      </c>
      <c r="I60" s="17">
        <f t="shared" si="21"/>
        <v>0</v>
      </c>
      <c r="J60" s="22">
        <f t="shared" si="21"/>
        <v>0</v>
      </c>
      <c r="K60" s="103">
        <f t="shared" si="21"/>
        <v>395000</v>
      </c>
    </row>
    <row r="61" spans="1:11" s="116" customFormat="1" ht="19.5" customHeight="1">
      <c r="A61" s="104" t="s">
        <v>27</v>
      </c>
      <c r="B61" s="165" t="s">
        <v>142</v>
      </c>
      <c r="C61" s="165"/>
      <c r="D61" s="166"/>
      <c r="E61" s="5"/>
      <c r="F61" s="5"/>
      <c r="G61" s="5"/>
      <c r="H61" s="5"/>
      <c r="I61" s="5"/>
      <c r="J61" s="29"/>
      <c r="K61" s="105"/>
    </row>
    <row r="62" spans="1:11" s="116" customFormat="1" ht="19.5" customHeight="1">
      <c r="A62" s="121" t="s">
        <v>28</v>
      </c>
      <c r="B62" s="10" t="s">
        <v>109</v>
      </c>
      <c r="C62" s="161" t="s">
        <v>161</v>
      </c>
      <c r="D62" s="162"/>
      <c r="E62" s="4">
        <v>0</v>
      </c>
      <c r="F62" s="4">
        <f>(9*80*10)*60%</f>
        <v>4320</v>
      </c>
      <c r="G62" s="4">
        <f>(9*80*10)*60%</f>
        <v>4320</v>
      </c>
      <c r="H62" s="4">
        <f>(9*80*10)*60%</f>
        <v>4320</v>
      </c>
      <c r="I62" s="4">
        <v>0</v>
      </c>
      <c r="J62" s="28">
        <v>0</v>
      </c>
      <c r="K62" s="99">
        <f>SUM(E62:J62)</f>
        <v>12960</v>
      </c>
    </row>
    <row r="63" spans="1:11" s="116" customFormat="1" ht="4.2" customHeight="1">
      <c r="A63" s="100"/>
      <c r="B63" s="92"/>
      <c r="C63" s="15"/>
      <c r="D63" s="11"/>
      <c r="E63" s="12"/>
      <c r="F63" s="12"/>
      <c r="G63" s="12"/>
      <c r="H63" s="12"/>
      <c r="I63" s="12"/>
      <c r="J63" s="15"/>
      <c r="K63" s="101"/>
    </row>
    <row r="64" spans="1:11" s="117" customFormat="1" ht="18.600000000000001" customHeight="1">
      <c r="A64" s="122"/>
      <c r="B64" s="90" t="s">
        <v>11</v>
      </c>
      <c r="C64" s="91"/>
      <c r="D64" s="21"/>
      <c r="E64" s="17">
        <f t="shared" ref="E64:K64" si="22">SUM(E62:E63)</f>
        <v>0</v>
      </c>
      <c r="F64" s="17">
        <f t="shared" si="22"/>
        <v>4320</v>
      </c>
      <c r="G64" s="17">
        <f t="shared" si="22"/>
        <v>4320</v>
      </c>
      <c r="H64" s="17">
        <f t="shared" si="22"/>
        <v>4320</v>
      </c>
      <c r="I64" s="17">
        <f t="shared" si="22"/>
        <v>0</v>
      </c>
      <c r="J64" s="22">
        <f t="shared" si="22"/>
        <v>0</v>
      </c>
      <c r="K64" s="103">
        <f t="shared" si="22"/>
        <v>12960</v>
      </c>
    </row>
    <row r="65" spans="1:11" s="116" customFormat="1" ht="19.5" customHeight="1">
      <c r="A65" s="104" t="s">
        <v>31</v>
      </c>
      <c r="B65" s="165" t="s">
        <v>78</v>
      </c>
      <c r="C65" s="165"/>
      <c r="D65" s="166"/>
      <c r="E65" s="5"/>
      <c r="F65" s="5"/>
      <c r="G65" s="5"/>
      <c r="H65" s="5"/>
      <c r="I65" s="5"/>
      <c r="J65" s="29"/>
      <c r="K65" s="105"/>
    </row>
    <row r="66" spans="1:11" s="116" customFormat="1" ht="19.5" customHeight="1">
      <c r="A66" s="106" t="s">
        <v>0</v>
      </c>
      <c r="B66" s="10" t="s">
        <v>110</v>
      </c>
      <c r="C66" s="168"/>
      <c r="D66" s="169"/>
      <c r="E66" s="4">
        <v>0</v>
      </c>
      <c r="F66" s="4">
        <v>0</v>
      </c>
      <c r="G66" s="4">
        <v>0</v>
      </c>
      <c r="H66" s="4">
        <v>0</v>
      </c>
      <c r="I66" s="4">
        <v>0</v>
      </c>
      <c r="J66" s="28">
        <v>0</v>
      </c>
      <c r="K66" s="99">
        <f t="shared" ref="K66" si="23">SUM(E66:J66)</f>
        <v>0</v>
      </c>
    </row>
    <row r="67" spans="1:11" s="116" customFormat="1" ht="4.2" customHeight="1">
      <c r="A67" s="100"/>
      <c r="B67" s="92"/>
      <c r="C67" s="15"/>
      <c r="D67" s="11"/>
      <c r="E67" s="12"/>
      <c r="F67" s="12"/>
      <c r="G67" s="12"/>
      <c r="H67" s="12"/>
      <c r="I67" s="12"/>
      <c r="J67" s="15"/>
      <c r="K67" s="101"/>
    </row>
    <row r="68" spans="1:11" s="117" customFormat="1" ht="19.5" customHeight="1">
      <c r="A68" s="122"/>
      <c r="B68" s="90" t="s">
        <v>12</v>
      </c>
      <c r="C68" s="91"/>
      <c r="D68" s="16"/>
      <c r="E68" s="17">
        <f t="shared" ref="E68:K68" si="24">SUM(E66:E67)</f>
        <v>0</v>
      </c>
      <c r="F68" s="17">
        <f t="shared" si="24"/>
        <v>0</v>
      </c>
      <c r="G68" s="17">
        <f t="shared" si="24"/>
        <v>0</v>
      </c>
      <c r="H68" s="17">
        <f t="shared" si="24"/>
        <v>0</v>
      </c>
      <c r="I68" s="17">
        <f t="shared" si="24"/>
        <v>0</v>
      </c>
      <c r="J68" s="22">
        <f t="shared" si="24"/>
        <v>0</v>
      </c>
      <c r="K68" s="103">
        <f t="shared" si="24"/>
        <v>0</v>
      </c>
    </row>
    <row r="69" spans="1:11" s="116" customFormat="1" ht="19.5" customHeight="1">
      <c r="A69" s="104" t="s">
        <v>49</v>
      </c>
      <c r="B69" s="165" t="s">
        <v>74</v>
      </c>
      <c r="C69" s="165"/>
      <c r="D69" s="166"/>
      <c r="E69" s="4">
        <v>10037.5</v>
      </c>
      <c r="F69" s="4">
        <v>120450</v>
      </c>
      <c r="G69" s="4">
        <v>120450</v>
      </c>
      <c r="H69" s="4">
        <v>110412.5</v>
      </c>
      <c r="I69" s="4">
        <v>0</v>
      </c>
      <c r="J69" s="28">
        <v>0</v>
      </c>
      <c r="K69" s="99">
        <f>SUM(E69:J69)</f>
        <v>361350</v>
      </c>
    </row>
    <row r="70" spans="1:11" s="115" customFormat="1" ht="25.95" customHeight="1" thickBot="1">
      <c r="A70" s="123"/>
      <c r="B70" s="88" t="s">
        <v>13</v>
      </c>
      <c r="C70" s="89"/>
      <c r="D70" s="107"/>
      <c r="E70" s="34">
        <f>SUM(E69)</f>
        <v>10037.5</v>
      </c>
      <c r="F70" s="34">
        <f t="shared" ref="F70:J70" si="25">SUM(F69)</f>
        <v>120450</v>
      </c>
      <c r="G70" s="34">
        <f t="shared" si="25"/>
        <v>120450</v>
      </c>
      <c r="H70" s="34">
        <f t="shared" si="25"/>
        <v>110412.5</v>
      </c>
      <c r="I70" s="34">
        <f t="shared" si="25"/>
        <v>0</v>
      </c>
      <c r="J70" s="35">
        <f t="shared" si="25"/>
        <v>0</v>
      </c>
      <c r="K70" s="108">
        <f>SUM(K69)</f>
        <v>361350</v>
      </c>
    </row>
    <row r="71" spans="1:11" s="120" customFormat="1" ht="26.1" customHeight="1" thickBot="1">
      <c r="A71" s="119"/>
      <c r="B71" s="30" t="s">
        <v>52</v>
      </c>
      <c r="C71" s="30"/>
      <c r="D71" s="30"/>
      <c r="E71" s="32">
        <f t="shared" ref="E71:K71" si="26">E70+E68+E64+E60</f>
        <v>10037.5</v>
      </c>
      <c r="F71" s="32">
        <f t="shared" si="26"/>
        <v>239770</v>
      </c>
      <c r="G71" s="32">
        <f t="shared" si="26"/>
        <v>264770</v>
      </c>
      <c r="H71" s="32">
        <f t="shared" si="26"/>
        <v>254732.5</v>
      </c>
      <c r="I71" s="32">
        <f t="shared" si="26"/>
        <v>0</v>
      </c>
      <c r="J71" s="33">
        <f t="shared" si="26"/>
        <v>0</v>
      </c>
      <c r="K71" s="23">
        <f t="shared" si="26"/>
        <v>769310</v>
      </c>
    </row>
    <row r="72" spans="1:11" s="120" customFormat="1" ht="12.6" customHeight="1">
      <c r="A72" s="24" t="s">
        <v>51</v>
      </c>
      <c r="B72" s="19"/>
      <c r="C72" s="19"/>
      <c r="D72" s="20"/>
      <c r="E72" s="20"/>
      <c r="F72" s="20"/>
      <c r="G72" s="20"/>
      <c r="H72" s="20"/>
      <c r="I72" s="20"/>
      <c r="J72" s="20"/>
    </row>
    <row r="73" spans="1:11" s="120" customFormat="1" ht="80.400000000000006" customHeight="1">
      <c r="B73" s="182" t="s">
        <v>167</v>
      </c>
      <c r="C73" s="182"/>
      <c r="D73" s="182"/>
      <c r="E73" s="182"/>
      <c r="F73" s="182"/>
      <c r="G73" s="182"/>
      <c r="H73" s="182"/>
      <c r="I73" s="182"/>
      <c r="J73" s="182"/>
      <c r="K73" s="182"/>
    </row>
    <row r="74" spans="1:11" s="120" customFormat="1" ht="7.95" customHeight="1">
      <c r="B74" s="27"/>
      <c r="C74" s="27"/>
      <c r="D74" s="27"/>
      <c r="E74" s="27"/>
      <c r="F74" s="27"/>
      <c r="G74" s="27"/>
      <c r="H74" s="27"/>
      <c r="I74" s="27"/>
      <c r="J74" s="27"/>
      <c r="K74" s="27"/>
    </row>
    <row r="75" spans="1:11" s="120" customFormat="1" ht="54.6" customHeight="1">
      <c r="B75" s="182" t="s">
        <v>143</v>
      </c>
      <c r="C75" s="182"/>
      <c r="D75" s="182"/>
      <c r="E75" s="182"/>
      <c r="F75" s="182"/>
      <c r="G75" s="182"/>
      <c r="H75" s="182"/>
      <c r="I75" s="182"/>
      <c r="J75" s="182"/>
      <c r="K75" s="182"/>
    </row>
    <row r="76" spans="1:11" s="120" customFormat="1" ht="19.95" customHeight="1" thickBot="1">
      <c r="B76" s="27"/>
      <c r="C76" s="27"/>
      <c r="D76" s="27"/>
      <c r="E76" s="27"/>
      <c r="F76" s="27"/>
      <c r="G76" s="27"/>
      <c r="H76" s="27"/>
      <c r="I76" s="27"/>
      <c r="J76" s="27"/>
      <c r="K76" s="27"/>
    </row>
    <row r="77" spans="1:11" s="120" customFormat="1" ht="18.600000000000001" customHeight="1" thickTop="1">
      <c r="B77" s="179" t="s">
        <v>152</v>
      </c>
      <c r="C77" s="180"/>
      <c r="D77" s="180"/>
      <c r="E77" s="180"/>
      <c r="F77" s="180"/>
      <c r="G77" s="180"/>
      <c r="H77" s="180"/>
      <c r="I77" s="180"/>
      <c r="J77" s="180"/>
      <c r="K77" s="181"/>
    </row>
    <row r="78" spans="1:11" s="120" customFormat="1" ht="26.1" customHeight="1">
      <c r="B78" s="45" t="s">
        <v>145</v>
      </c>
      <c r="C78" s="19"/>
      <c r="F78" s="20"/>
      <c r="G78" s="20"/>
      <c r="H78" s="20"/>
      <c r="I78" s="20"/>
      <c r="J78" s="20"/>
      <c r="K78" s="159"/>
    </row>
    <row r="79" spans="1:11" s="114" customFormat="1" ht="27" customHeight="1">
      <c r="A79" s="25"/>
      <c r="B79" s="43"/>
      <c r="C79" s="42"/>
      <c r="D79" s="74"/>
      <c r="E79" s="97">
        <v>2025</v>
      </c>
      <c r="F79" s="97">
        <v>2026</v>
      </c>
      <c r="G79" s="97">
        <v>2027</v>
      </c>
      <c r="H79" s="97">
        <v>2028</v>
      </c>
      <c r="I79" s="97">
        <v>2029</v>
      </c>
      <c r="J79" s="97">
        <v>2030</v>
      </c>
      <c r="K79" s="160" t="s">
        <v>153</v>
      </c>
    </row>
    <row r="80" spans="1:11" s="25" customFormat="1" ht="26.1" customHeight="1">
      <c r="B80" s="43"/>
      <c r="C80" s="42"/>
      <c r="D80" s="26" t="s">
        <v>144</v>
      </c>
      <c r="E80" s="4">
        <f t="shared" ref="E80:K80" si="27">E71-E52</f>
        <v>0</v>
      </c>
      <c r="F80" s="4">
        <f t="shared" si="27"/>
        <v>0</v>
      </c>
      <c r="G80" s="4">
        <f t="shared" si="27"/>
        <v>0</v>
      </c>
      <c r="H80" s="4">
        <f t="shared" si="27"/>
        <v>0</v>
      </c>
      <c r="I80" s="4">
        <f t="shared" si="27"/>
        <v>0</v>
      </c>
      <c r="J80" s="4">
        <f t="shared" si="27"/>
        <v>0</v>
      </c>
      <c r="K80" s="158">
        <f t="shared" si="27"/>
        <v>0</v>
      </c>
    </row>
    <row r="81" spans="2:11" s="120" customFormat="1" ht="11.4" customHeight="1" thickBot="1">
      <c r="B81" s="79"/>
      <c r="C81" s="80"/>
      <c r="D81" s="80"/>
      <c r="E81" s="81"/>
      <c r="F81" s="81"/>
      <c r="G81" s="81"/>
      <c r="H81" s="81"/>
      <c r="I81" s="81"/>
      <c r="J81" s="81"/>
      <c r="K81" s="82"/>
    </row>
    <row r="82" spans="2:11" s="120" customFormat="1" ht="39" customHeight="1" thickTop="1" thickBot="1">
      <c r="B82" s="183" t="s">
        <v>149</v>
      </c>
      <c r="C82" s="184"/>
      <c r="D82" s="184"/>
      <c r="E82" s="184"/>
      <c r="F82" s="184"/>
      <c r="G82" s="184"/>
      <c r="H82" s="44"/>
      <c r="I82" s="185" t="s">
        <v>150</v>
      </c>
      <c r="J82" s="186"/>
      <c r="K82" s="78">
        <f>K60/(K70+K60)</f>
        <v>0.5222449923976995</v>
      </c>
    </row>
    <row r="83" spans="2:11" s="120" customFormat="1" ht="26.1" customHeight="1" thickTop="1">
      <c r="B83" s="19"/>
      <c r="C83" s="19"/>
      <c r="D83" s="19"/>
      <c r="E83" s="20"/>
      <c r="F83" s="20"/>
      <c r="G83" s="20"/>
      <c r="H83" s="20"/>
      <c r="I83" s="20"/>
      <c r="J83" s="20"/>
      <c r="K83" s="13"/>
    </row>
    <row r="84" spans="2:11" ht="11.7" customHeight="1">
      <c r="B84" s="124"/>
      <c r="C84" s="124"/>
      <c r="D84" s="124"/>
      <c r="E84" s="124"/>
      <c r="F84" s="124"/>
      <c r="G84" s="124"/>
      <c r="H84" s="124"/>
      <c r="I84" s="124"/>
      <c r="J84" s="110"/>
      <c r="K84" s="110"/>
    </row>
    <row r="85" spans="2:11" ht="11.7" customHeight="1">
      <c r="B85" s="124"/>
      <c r="C85" s="124"/>
      <c r="D85" s="124"/>
      <c r="E85" s="124"/>
      <c r="F85" s="124"/>
      <c r="G85" s="124"/>
      <c r="H85" s="124"/>
      <c r="I85" s="124"/>
      <c r="J85" s="124"/>
      <c r="K85" s="13"/>
    </row>
    <row r="86" spans="2:11" ht="39" customHeight="1">
      <c r="B86" s="110"/>
      <c r="C86" s="110"/>
      <c r="E86" s="110"/>
      <c r="F86" s="110"/>
      <c r="G86" s="110"/>
      <c r="H86" s="124"/>
      <c r="I86" s="124"/>
      <c r="J86" s="124"/>
      <c r="K86" s="13"/>
    </row>
    <row r="87" spans="2:11" ht="13.2">
      <c r="B87" s="25"/>
      <c r="C87" s="25"/>
    </row>
    <row r="88" spans="2:11" ht="20.100000000000001" customHeight="1"/>
    <row r="89" spans="2:11" ht="13.8">
      <c r="B89" s="128"/>
      <c r="C89" s="128"/>
    </row>
  </sheetData>
  <mergeCells count="42">
    <mergeCell ref="B77:K77"/>
    <mergeCell ref="B75:K75"/>
    <mergeCell ref="B82:G82"/>
    <mergeCell ref="I82:J82"/>
    <mergeCell ref="B7:D7"/>
    <mergeCell ref="B55:D55"/>
    <mergeCell ref="C56:D56"/>
    <mergeCell ref="C57:D57"/>
    <mergeCell ref="C58:D58"/>
    <mergeCell ref="B65:D65"/>
    <mergeCell ref="C66:D66"/>
    <mergeCell ref="B61:D61"/>
    <mergeCell ref="C62:D62"/>
    <mergeCell ref="B73:K73"/>
    <mergeCell ref="C46:D46"/>
    <mergeCell ref="C47:D47"/>
    <mergeCell ref="C24:D24"/>
    <mergeCell ref="C25:D25"/>
    <mergeCell ref="A1:C1"/>
    <mergeCell ref="A2:B2"/>
    <mergeCell ref="A3:C3"/>
    <mergeCell ref="C42:D42"/>
    <mergeCell ref="B41:D41"/>
    <mergeCell ref="C36:D36"/>
    <mergeCell ref="C37:D37"/>
    <mergeCell ref="C38:D38"/>
    <mergeCell ref="C48:D48"/>
    <mergeCell ref="C49:D49"/>
    <mergeCell ref="B69:D69"/>
    <mergeCell ref="I1:K1"/>
    <mergeCell ref="B20:D20"/>
    <mergeCell ref="B35:D35"/>
    <mergeCell ref="C29:D29"/>
    <mergeCell ref="C30:D30"/>
    <mergeCell ref="C31:D31"/>
    <mergeCell ref="C32:D32"/>
    <mergeCell ref="C21:D21"/>
    <mergeCell ref="C22:D22"/>
    <mergeCell ref="C23:D23"/>
    <mergeCell ref="E3:F3"/>
    <mergeCell ref="D1:G1"/>
    <mergeCell ref="B45:D45"/>
  </mergeCells>
  <phoneticPr fontId="0" type="noConversion"/>
  <conditionalFormatting sqref="E80:K80">
    <cfRule type="expression" dxfId="3" priority="11" stopIfTrue="1">
      <formula>E80&lt;&gt;0</formula>
    </cfRule>
    <cfRule type="expression" dxfId="2" priority="12" stopIfTrue="1">
      <formula>E80=0</formula>
    </cfRule>
  </conditionalFormatting>
  <conditionalFormatting sqref="K82">
    <cfRule type="expression" dxfId="1" priority="9" stopIfTrue="1">
      <formula>K82&lt;0.5</formula>
    </cfRule>
    <cfRule type="expression" dxfId="0" priority="10" stopIfTrue="1">
      <formula>K82&gt;=0.5</formula>
    </cfRule>
  </conditionalFormatting>
  <dataValidations xWindow="259" yWindow="700" count="11">
    <dataValidation allowBlank="1" showInputMessage="1" showErrorMessage="1" promptTitle="ACHTUNG" prompt="Summe der Einnahmen und der Ausgaben muss identisch (ausgeglichen) sein!" sqref="K52 K71:K76" xr:uid="{8A94C389-1891-49A4-BC8F-C4384E633CEA}"/>
    <dataValidation allowBlank="1" showInputMessage="1" showErrorMessage="1" promptTitle="ACHTUNG:" prompt="Summe der Einnahmen und der Ausgaben muss identisch (ausgeglichen) sein!" sqref="E52:K52 E71:K76" xr:uid="{2C2AE92B-A105-4E0F-811E-F40559D3EB61}"/>
    <dataValidation allowBlank="1" showInputMessage="1" showErrorMessage="1" promptTitle="Diese Zeile nicht beschreiben" prompt="Zusätzliche Zeilen immer vor dieser Zeile einfügen, damit die Summe richtig berechnet wird!" sqref="A26:XFD26 A33:XFD33 A39:XFD39 A43:XFD43 A50:XFD50 A59:XFD59 A63:XFD63 A67:XFD67 A18:XFD18" xr:uid="{0FA93D09-BDFE-4D0A-86C9-D8C3F1BFDD47}"/>
    <dataValidation allowBlank="1" showInputMessage="1" showErrorMessage="1" promptTitle="bitte eintragen:" prompt="Stand (Datum) dieses Finanzierungsplans" sqref="K3" xr:uid="{86960185-93E6-41E0-9CD4-347E065442E4}"/>
    <dataValidation allowBlank="1" showInputMessage="1" showErrorMessage="1" promptTitle="bitte eintragen:" prompt="Titel des beantragten Projekts" sqref="D1" xr:uid="{EFA50BB5-B60F-4480-B2EF-EF377F6FEF54}"/>
    <dataValidation allowBlank="1" showInputMessage="1" showErrorMessage="1" promptTitle="HINWEIS:" prompt="Die Projektlaufzeit beträgt in der Regel 36 Monate. _x000a_Nicht benötigte Jahre bitte leer lassen. " sqref="E6:J6 E79:J79" xr:uid="{6E5BC8E3-7E50-4087-8F9B-0EACFA206821}"/>
    <dataValidation allowBlank="1" showInputMessage="1" showErrorMessage="1" promptTitle="bitte eintragen:" prompt="Datum Projektanfang -_x000a_Datum Projektende" sqref="E3:F5" xr:uid="{FC203783-F445-47C2-968A-9202A0BA1D2C}"/>
    <dataValidation allowBlank="1" showInputMessage="1" showErrorMessage="1" promptTitle="ACHTUNG!" prompt="Bitte die Kosten unbedingt nachvollziehbar (als Text in den Erläuterungen oder als Berechnungs-Formel) darstellen!" sqref="B28 B65" xr:uid="{5E997BC6-ACFF-4586-BF34-71EB6DB85969}"/>
    <dataValidation allowBlank="1" showInputMessage="1" showErrorMessage="1" promptTitle="bitte eintragen:" prompt="Name des Beschäftigten _x000a_oder N.N. (falls noch nicht bekannt)" sqref="C6" xr:uid="{A2A669C5-4439-4424-ABB6-D044428D43E1}"/>
    <dataValidation allowBlank="1" showInputMessage="1" showErrorMessage="1" promptTitle="bitte beachten!" prompt="Die beantragte Fördersumme muss zu gleichen Teilen auf die einzelnen Jahre der Projektlaufzeit verteilt werden. Ggf. nicht verbrauchte Mittel können später in das jeweils folgende Jahr übertragen werden." sqref="B69 E69:J69" xr:uid="{7A07C386-CB09-4ECC-911D-453BA69D30A8}"/>
    <dataValidation allowBlank="1" showInputMessage="1" showErrorMessage="1" promptTitle="bitte eintragen:" prompt="Name der beantragenden Person oder Institution" sqref="B4:C5 A3" xr:uid="{4BDE4964-4BF1-4856-ABBE-1ED4799F40A6}"/>
  </dataValidations>
  <pageMargins left="0.39000000000000007" right="0.2" top="0.47" bottom="0.59" header="0.51" footer="0.39000000000000007"/>
  <pageSetup paperSize="9" scale="72" orientation="landscape" horizontalDpi="4294967294" verticalDpi="4294967294" r:id="rId1"/>
  <headerFooter alignWithMargins="0">
    <oddFooter>Seite &amp;P von &amp;N</oddFooter>
  </headerFooter>
  <rowBreaks count="1" manualBreakCount="1">
    <brk id="40" min="1" max="6" man="1"/>
  </rowBreaks>
  <extLst>
    <ext xmlns:x14="http://schemas.microsoft.com/office/spreadsheetml/2009/9/main" uri="{CCE6A557-97BC-4b89-ADB6-D9C93CAAB3DF}">
      <x14:dataValidations xmlns:xm="http://schemas.microsoft.com/office/excel/2006/main" xWindow="259" yWindow="700" count="1">
        <x14:dataValidation type="list" allowBlank="1" showInputMessage="1" showErrorMessage="1" promptTitle="bitte auswählen:" prompt="vorsteuerabzugsberechtigt? -&gt; Netto EUR_x000a_nicht vorsteuerabzugsberechtigt? -&gt; Brutto EUR" xr:uid="{C54B1740-117F-48A1-812F-7B2CECC5CA3E}">
          <x14:formula1>
            <xm:f>x!$A$2:$A$3</xm:f>
          </x14:formula1>
          <xm:sqref>I3:I5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BA0B-7A50-4655-AA84-B361AA55EAD3}">
  <dimension ref="A1:R96"/>
  <sheetViews>
    <sheetView topLeftCell="C1" zoomScaleNormal="100" workbookViewId="0">
      <selection activeCell="G24" sqref="G24"/>
    </sheetView>
  </sheetViews>
  <sheetFormatPr baseColWidth="10" defaultRowHeight="11.4"/>
  <cols>
    <col min="3" max="3" width="17.375" customWidth="1"/>
    <col min="4" max="4" width="17.875" customWidth="1"/>
    <col min="5" max="5" width="17.625" customWidth="1"/>
    <col min="7" max="7" width="63.25" style="41" customWidth="1"/>
    <col min="257" max="257" width="17.375" customWidth="1"/>
    <col min="258" max="258" width="17.875" customWidth="1"/>
    <col min="259" max="259" width="17.625" customWidth="1"/>
    <col min="263" max="263" width="55.125" customWidth="1"/>
    <col min="513" max="513" width="17.375" customWidth="1"/>
    <col min="514" max="514" width="17.875" customWidth="1"/>
    <col min="515" max="515" width="17.625" customWidth="1"/>
    <col min="519" max="519" width="55.125" customWidth="1"/>
    <col min="769" max="769" width="17.375" customWidth="1"/>
    <col min="770" max="770" width="17.875" customWidth="1"/>
    <col min="771" max="771" width="17.625" customWidth="1"/>
    <col min="775" max="775" width="55.125" customWidth="1"/>
    <col min="1025" max="1025" width="17.375" customWidth="1"/>
    <col min="1026" max="1026" width="17.875" customWidth="1"/>
    <col min="1027" max="1027" width="17.625" customWidth="1"/>
    <col min="1031" max="1031" width="55.125" customWidth="1"/>
    <col min="1281" max="1281" width="17.375" customWidth="1"/>
    <col min="1282" max="1282" width="17.875" customWidth="1"/>
    <col min="1283" max="1283" width="17.625" customWidth="1"/>
    <col min="1287" max="1287" width="55.125" customWidth="1"/>
    <col min="1537" max="1537" width="17.375" customWidth="1"/>
    <col min="1538" max="1538" width="17.875" customWidth="1"/>
    <col min="1539" max="1539" width="17.625" customWidth="1"/>
    <col min="1543" max="1543" width="55.125" customWidth="1"/>
    <col min="1793" max="1793" width="17.375" customWidth="1"/>
    <col min="1794" max="1794" width="17.875" customWidth="1"/>
    <col min="1795" max="1795" width="17.625" customWidth="1"/>
    <col min="1799" max="1799" width="55.125" customWidth="1"/>
    <col min="2049" max="2049" width="17.375" customWidth="1"/>
    <col min="2050" max="2050" width="17.875" customWidth="1"/>
    <col min="2051" max="2051" width="17.625" customWidth="1"/>
    <col min="2055" max="2055" width="55.125" customWidth="1"/>
    <col min="2305" max="2305" width="17.375" customWidth="1"/>
    <col min="2306" max="2306" width="17.875" customWidth="1"/>
    <col min="2307" max="2307" width="17.625" customWidth="1"/>
    <col min="2311" max="2311" width="55.125" customWidth="1"/>
    <col min="2561" max="2561" width="17.375" customWidth="1"/>
    <col min="2562" max="2562" width="17.875" customWidth="1"/>
    <col min="2563" max="2563" width="17.625" customWidth="1"/>
    <col min="2567" max="2567" width="55.125" customWidth="1"/>
    <col min="2817" max="2817" width="17.375" customWidth="1"/>
    <col min="2818" max="2818" width="17.875" customWidth="1"/>
    <col min="2819" max="2819" width="17.625" customWidth="1"/>
    <col min="2823" max="2823" width="55.125" customWidth="1"/>
    <col min="3073" max="3073" width="17.375" customWidth="1"/>
    <col min="3074" max="3074" width="17.875" customWidth="1"/>
    <col min="3075" max="3075" width="17.625" customWidth="1"/>
    <col min="3079" max="3079" width="55.125" customWidth="1"/>
    <col min="3329" max="3329" width="17.375" customWidth="1"/>
    <col min="3330" max="3330" width="17.875" customWidth="1"/>
    <col min="3331" max="3331" width="17.625" customWidth="1"/>
    <col min="3335" max="3335" width="55.125" customWidth="1"/>
    <col min="3585" max="3585" width="17.375" customWidth="1"/>
    <col min="3586" max="3586" width="17.875" customWidth="1"/>
    <col min="3587" max="3587" width="17.625" customWidth="1"/>
    <col min="3591" max="3591" width="55.125" customWidth="1"/>
    <col min="3841" max="3841" width="17.375" customWidth="1"/>
    <col min="3842" max="3842" width="17.875" customWidth="1"/>
    <col min="3843" max="3843" width="17.625" customWidth="1"/>
    <col min="3847" max="3847" width="55.125" customWidth="1"/>
    <col min="4097" max="4097" width="17.375" customWidth="1"/>
    <col min="4098" max="4098" width="17.875" customWidth="1"/>
    <col min="4099" max="4099" width="17.625" customWidth="1"/>
    <col min="4103" max="4103" width="55.125" customWidth="1"/>
    <col min="4353" max="4353" width="17.375" customWidth="1"/>
    <col min="4354" max="4354" width="17.875" customWidth="1"/>
    <col min="4355" max="4355" width="17.625" customWidth="1"/>
    <col min="4359" max="4359" width="55.125" customWidth="1"/>
    <col min="4609" max="4609" width="17.375" customWidth="1"/>
    <col min="4610" max="4610" width="17.875" customWidth="1"/>
    <col min="4611" max="4611" width="17.625" customWidth="1"/>
    <col min="4615" max="4615" width="55.125" customWidth="1"/>
    <col min="4865" max="4865" width="17.375" customWidth="1"/>
    <col min="4866" max="4866" width="17.875" customWidth="1"/>
    <col min="4867" max="4867" width="17.625" customWidth="1"/>
    <col min="4871" max="4871" width="55.125" customWidth="1"/>
    <col min="5121" max="5121" width="17.375" customWidth="1"/>
    <col min="5122" max="5122" width="17.875" customWidth="1"/>
    <col min="5123" max="5123" width="17.625" customWidth="1"/>
    <col min="5127" max="5127" width="55.125" customWidth="1"/>
    <col min="5377" max="5377" width="17.375" customWidth="1"/>
    <col min="5378" max="5378" width="17.875" customWidth="1"/>
    <col min="5379" max="5379" width="17.625" customWidth="1"/>
    <col min="5383" max="5383" width="55.125" customWidth="1"/>
    <col min="5633" max="5633" width="17.375" customWidth="1"/>
    <col min="5634" max="5634" width="17.875" customWidth="1"/>
    <col min="5635" max="5635" width="17.625" customWidth="1"/>
    <col min="5639" max="5639" width="55.125" customWidth="1"/>
    <col min="5889" max="5889" width="17.375" customWidth="1"/>
    <col min="5890" max="5890" width="17.875" customWidth="1"/>
    <col min="5891" max="5891" width="17.625" customWidth="1"/>
    <col min="5895" max="5895" width="55.125" customWidth="1"/>
    <col min="6145" max="6145" width="17.375" customWidth="1"/>
    <col min="6146" max="6146" width="17.875" customWidth="1"/>
    <col min="6147" max="6147" width="17.625" customWidth="1"/>
    <col min="6151" max="6151" width="55.125" customWidth="1"/>
    <col min="6401" max="6401" width="17.375" customWidth="1"/>
    <col min="6402" max="6402" width="17.875" customWidth="1"/>
    <col min="6403" max="6403" width="17.625" customWidth="1"/>
    <col min="6407" max="6407" width="55.125" customWidth="1"/>
    <col min="6657" max="6657" width="17.375" customWidth="1"/>
    <col min="6658" max="6658" width="17.875" customWidth="1"/>
    <col min="6659" max="6659" width="17.625" customWidth="1"/>
    <col min="6663" max="6663" width="55.125" customWidth="1"/>
    <col min="6913" max="6913" width="17.375" customWidth="1"/>
    <col min="6914" max="6914" width="17.875" customWidth="1"/>
    <col min="6915" max="6915" width="17.625" customWidth="1"/>
    <col min="6919" max="6919" width="55.125" customWidth="1"/>
    <col min="7169" max="7169" width="17.375" customWidth="1"/>
    <col min="7170" max="7170" width="17.875" customWidth="1"/>
    <col min="7171" max="7171" width="17.625" customWidth="1"/>
    <col min="7175" max="7175" width="55.125" customWidth="1"/>
    <col min="7425" max="7425" width="17.375" customWidth="1"/>
    <col min="7426" max="7426" width="17.875" customWidth="1"/>
    <col min="7427" max="7427" width="17.625" customWidth="1"/>
    <col min="7431" max="7431" width="55.125" customWidth="1"/>
    <col min="7681" max="7681" width="17.375" customWidth="1"/>
    <col min="7682" max="7682" width="17.875" customWidth="1"/>
    <col min="7683" max="7683" width="17.625" customWidth="1"/>
    <col min="7687" max="7687" width="55.125" customWidth="1"/>
    <col min="7937" max="7937" width="17.375" customWidth="1"/>
    <col min="7938" max="7938" width="17.875" customWidth="1"/>
    <col min="7939" max="7939" width="17.625" customWidth="1"/>
    <col min="7943" max="7943" width="55.125" customWidth="1"/>
    <col min="8193" max="8193" width="17.375" customWidth="1"/>
    <col min="8194" max="8194" width="17.875" customWidth="1"/>
    <col min="8195" max="8195" width="17.625" customWidth="1"/>
    <col min="8199" max="8199" width="55.125" customWidth="1"/>
    <col min="8449" max="8449" width="17.375" customWidth="1"/>
    <col min="8450" max="8450" width="17.875" customWidth="1"/>
    <col min="8451" max="8451" width="17.625" customWidth="1"/>
    <col min="8455" max="8455" width="55.125" customWidth="1"/>
    <col min="8705" max="8705" width="17.375" customWidth="1"/>
    <col min="8706" max="8706" width="17.875" customWidth="1"/>
    <col min="8707" max="8707" width="17.625" customWidth="1"/>
    <col min="8711" max="8711" width="55.125" customWidth="1"/>
    <col min="8961" max="8961" width="17.375" customWidth="1"/>
    <col min="8962" max="8962" width="17.875" customWidth="1"/>
    <col min="8963" max="8963" width="17.625" customWidth="1"/>
    <col min="8967" max="8967" width="55.125" customWidth="1"/>
    <col min="9217" max="9217" width="17.375" customWidth="1"/>
    <col min="9218" max="9218" width="17.875" customWidth="1"/>
    <col min="9219" max="9219" width="17.625" customWidth="1"/>
    <col min="9223" max="9223" width="55.125" customWidth="1"/>
    <col min="9473" max="9473" width="17.375" customWidth="1"/>
    <col min="9474" max="9474" width="17.875" customWidth="1"/>
    <col min="9475" max="9475" width="17.625" customWidth="1"/>
    <col min="9479" max="9479" width="55.125" customWidth="1"/>
    <col min="9729" max="9729" width="17.375" customWidth="1"/>
    <col min="9730" max="9730" width="17.875" customWidth="1"/>
    <col min="9731" max="9731" width="17.625" customWidth="1"/>
    <col min="9735" max="9735" width="55.125" customWidth="1"/>
    <col min="9985" max="9985" width="17.375" customWidth="1"/>
    <col min="9986" max="9986" width="17.875" customWidth="1"/>
    <col min="9987" max="9987" width="17.625" customWidth="1"/>
    <col min="9991" max="9991" width="55.125" customWidth="1"/>
    <col min="10241" max="10241" width="17.375" customWidth="1"/>
    <col min="10242" max="10242" width="17.875" customWidth="1"/>
    <col min="10243" max="10243" width="17.625" customWidth="1"/>
    <col min="10247" max="10247" width="55.125" customWidth="1"/>
    <col min="10497" max="10497" width="17.375" customWidth="1"/>
    <col min="10498" max="10498" width="17.875" customWidth="1"/>
    <col min="10499" max="10499" width="17.625" customWidth="1"/>
    <col min="10503" max="10503" width="55.125" customWidth="1"/>
    <col min="10753" max="10753" width="17.375" customWidth="1"/>
    <col min="10754" max="10754" width="17.875" customWidth="1"/>
    <col min="10755" max="10755" width="17.625" customWidth="1"/>
    <col min="10759" max="10759" width="55.125" customWidth="1"/>
    <col min="11009" max="11009" width="17.375" customWidth="1"/>
    <col min="11010" max="11010" width="17.875" customWidth="1"/>
    <col min="11011" max="11011" width="17.625" customWidth="1"/>
    <col min="11015" max="11015" width="55.125" customWidth="1"/>
    <col min="11265" max="11265" width="17.375" customWidth="1"/>
    <col min="11266" max="11266" width="17.875" customWidth="1"/>
    <col min="11267" max="11267" width="17.625" customWidth="1"/>
    <col min="11271" max="11271" width="55.125" customWidth="1"/>
    <col min="11521" max="11521" width="17.375" customWidth="1"/>
    <col min="11522" max="11522" width="17.875" customWidth="1"/>
    <col min="11523" max="11523" width="17.625" customWidth="1"/>
    <col min="11527" max="11527" width="55.125" customWidth="1"/>
    <col min="11777" max="11777" width="17.375" customWidth="1"/>
    <col min="11778" max="11778" width="17.875" customWidth="1"/>
    <col min="11779" max="11779" width="17.625" customWidth="1"/>
    <col min="11783" max="11783" width="55.125" customWidth="1"/>
    <col min="12033" max="12033" width="17.375" customWidth="1"/>
    <col min="12034" max="12034" width="17.875" customWidth="1"/>
    <col min="12035" max="12035" width="17.625" customWidth="1"/>
    <col min="12039" max="12039" width="55.125" customWidth="1"/>
    <col min="12289" max="12289" width="17.375" customWidth="1"/>
    <col min="12290" max="12290" width="17.875" customWidth="1"/>
    <col min="12291" max="12291" width="17.625" customWidth="1"/>
    <col min="12295" max="12295" width="55.125" customWidth="1"/>
    <col min="12545" max="12545" width="17.375" customWidth="1"/>
    <col min="12546" max="12546" width="17.875" customWidth="1"/>
    <col min="12547" max="12547" width="17.625" customWidth="1"/>
    <col min="12551" max="12551" width="55.125" customWidth="1"/>
    <col min="12801" max="12801" width="17.375" customWidth="1"/>
    <col min="12802" max="12802" width="17.875" customWidth="1"/>
    <col min="12803" max="12803" width="17.625" customWidth="1"/>
    <col min="12807" max="12807" width="55.125" customWidth="1"/>
    <col min="13057" max="13057" width="17.375" customWidth="1"/>
    <col min="13058" max="13058" width="17.875" customWidth="1"/>
    <col min="13059" max="13059" width="17.625" customWidth="1"/>
    <col min="13063" max="13063" width="55.125" customWidth="1"/>
    <col min="13313" max="13313" width="17.375" customWidth="1"/>
    <col min="13314" max="13314" width="17.875" customWidth="1"/>
    <col min="13315" max="13315" width="17.625" customWidth="1"/>
    <col min="13319" max="13319" width="55.125" customWidth="1"/>
    <col min="13569" max="13569" width="17.375" customWidth="1"/>
    <col min="13570" max="13570" width="17.875" customWidth="1"/>
    <col min="13571" max="13571" width="17.625" customWidth="1"/>
    <col min="13575" max="13575" width="55.125" customWidth="1"/>
    <col min="13825" max="13825" width="17.375" customWidth="1"/>
    <col min="13826" max="13826" width="17.875" customWidth="1"/>
    <col min="13827" max="13827" width="17.625" customWidth="1"/>
    <col min="13831" max="13831" width="55.125" customWidth="1"/>
    <col min="14081" max="14081" width="17.375" customWidth="1"/>
    <col min="14082" max="14082" width="17.875" customWidth="1"/>
    <col min="14083" max="14083" width="17.625" customWidth="1"/>
    <col min="14087" max="14087" width="55.125" customWidth="1"/>
    <col min="14337" max="14337" width="17.375" customWidth="1"/>
    <col min="14338" max="14338" width="17.875" customWidth="1"/>
    <col min="14339" max="14339" width="17.625" customWidth="1"/>
    <col min="14343" max="14343" width="55.125" customWidth="1"/>
    <col min="14593" max="14593" width="17.375" customWidth="1"/>
    <col min="14594" max="14594" width="17.875" customWidth="1"/>
    <col min="14595" max="14595" width="17.625" customWidth="1"/>
    <col min="14599" max="14599" width="55.125" customWidth="1"/>
    <col min="14849" max="14849" width="17.375" customWidth="1"/>
    <col min="14850" max="14850" width="17.875" customWidth="1"/>
    <col min="14851" max="14851" width="17.625" customWidth="1"/>
    <col min="14855" max="14855" width="55.125" customWidth="1"/>
    <col min="15105" max="15105" width="17.375" customWidth="1"/>
    <col min="15106" max="15106" width="17.875" customWidth="1"/>
    <col min="15107" max="15107" width="17.625" customWidth="1"/>
    <col min="15111" max="15111" width="55.125" customWidth="1"/>
    <col min="15361" max="15361" width="17.375" customWidth="1"/>
    <col min="15362" max="15362" width="17.875" customWidth="1"/>
    <col min="15363" max="15363" width="17.625" customWidth="1"/>
    <col min="15367" max="15367" width="55.125" customWidth="1"/>
    <col min="15617" max="15617" width="17.375" customWidth="1"/>
    <col min="15618" max="15618" width="17.875" customWidth="1"/>
    <col min="15619" max="15619" width="17.625" customWidth="1"/>
    <col min="15623" max="15623" width="55.125" customWidth="1"/>
    <col min="15873" max="15873" width="17.375" customWidth="1"/>
    <col min="15874" max="15874" width="17.875" customWidth="1"/>
    <col min="15875" max="15875" width="17.625" customWidth="1"/>
    <col min="15879" max="15879" width="55.125" customWidth="1"/>
    <col min="16129" max="16129" width="17.375" customWidth="1"/>
    <col min="16130" max="16130" width="17.875" customWidth="1"/>
    <col min="16131" max="16131" width="17.625" customWidth="1"/>
    <col min="16135" max="16135" width="55.125" customWidth="1"/>
  </cols>
  <sheetData>
    <row r="1" spans="1:18" ht="17.399999999999999">
      <c r="A1" s="58" t="s">
        <v>70</v>
      </c>
      <c r="B1" s="49"/>
      <c r="C1" s="49"/>
      <c r="D1" s="49"/>
      <c r="E1" s="49"/>
      <c r="F1" s="49"/>
      <c r="G1" s="50" t="s">
        <v>54</v>
      </c>
    </row>
    <row r="2" spans="1:18" ht="61.2">
      <c r="A2" s="59" t="s">
        <v>71</v>
      </c>
      <c r="B2" s="49"/>
      <c r="C2" s="49"/>
      <c r="D2" s="49"/>
      <c r="E2" s="49"/>
      <c r="F2" s="49"/>
      <c r="G2" s="51" t="s">
        <v>168</v>
      </c>
    </row>
    <row r="3" spans="1:18">
      <c r="G3" s="56" t="s">
        <v>69</v>
      </c>
      <c r="H3" s="48"/>
      <c r="I3" s="48"/>
      <c r="J3" s="37"/>
      <c r="K3" s="37"/>
    </row>
    <row r="4" spans="1:18" ht="13.2">
      <c r="B4" s="66" t="s">
        <v>67</v>
      </c>
      <c r="C4" s="67"/>
      <c r="D4" s="67"/>
      <c r="E4" s="68"/>
      <c r="G4" s="52"/>
      <c r="J4" s="37"/>
      <c r="K4" s="37"/>
    </row>
    <row r="5" spans="1:18" ht="14.25" customHeight="1">
      <c r="A5" s="36"/>
      <c r="B5" s="69" t="s">
        <v>56</v>
      </c>
      <c r="C5" s="69" t="s">
        <v>57</v>
      </c>
      <c r="D5" s="69" t="s">
        <v>58</v>
      </c>
      <c r="E5" s="69" t="s">
        <v>59</v>
      </c>
      <c r="G5" s="192" t="s">
        <v>72</v>
      </c>
    </row>
    <row r="6" spans="1:18" ht="14.25" customHeight="1">
      <c r="B6" s="63">
        <v>0</v>
      </c>
      <c r="C6" s="64" t="s">
        <v>60</v>
      </c>
      <c r="D6" s="65">
        <v>17.5</v>
      </c>
      <c r="E6" s="65">
        <f>ROUND(B6*D6,2)</f>
        <v>0</v>
      </c>
      <c r="G6" s="192"/>
    </row>
    <row r="7" spans="1:18" ht="12.75" customHeight="1">
      <c r="B7" s="63">
        <v>0</v>
      </c>
      <c r="C7" s="64" t="s">
        <v>62</v>
      </c>
      <c r="D7" s="65">
        <v>140</v>
      </c>
      <c r="E7" s="65">
        <f>ROUND(B7*D7,2)</f>
        <v>0</v>
      </c>
      <c r="G7" s="192"/>
    </row>
    <row r="8" spans="1:18" ht="12.75" customHeight="1">
      <c r="B8" s="63">
        <v>0</v>
      </c>
      <c r="C8" s="64" t="s">
        <v>63</v>
      </c>
      <c r="D8" s="65">
        <v>715</v>
      </c>
      <c r="E8" s="65">
        <f>ROUND(B8*D8,2)</f>
        <v>0</v>
      </c>
      <c r="G8" s="192"/>
    </row>
    <row r="9" spans="1:18" ht="11.4" customHeight="1">
      <c r="B9" s="63">
        <v>0</v>
      </c>
      <c r="C9" s="64" t="s">
        <v>64</v>
      </c>
      <c r="D9" s="65">
        <v>3100</v>
      </c>
      <c r="E9" s="65">
        <f>ROUND(B9*D9,2)</f>
        <v>0</v>
      </c>
      <c r="G9" s="57" t="s">
        <v>55</v>
      </c>
    </row>
    <row r="10" spans="1:18" ht="12.75" customHeight="1">
      <c r="B10" s="63">
        <v>0</v>
      </c>
      <c r="C10" s="64" t="s">
        <v>65</v>
      </c>
      <c r="D10" s="65">
        <v>310</v>
      </c>
      <c r="E10" s="65">
        <f>ROUND(B10*D10,2)</f>
        <v>0</v>
      </c>
      <c r="G10" s="53"/>
    </row>
    <row r="11" spans="1:18">
      <c r="B11" s="71"/>
      <c r="C11" s="60"/>
      <c r="D11" s="60"/>
      <c r="E11" s="61"/>
      <c r="G11" s="54" t="s">
        <v>61</v>
      </c>
    </row>
    <row r="12" spans="1:18" ht="12.75" customHeight="1">
      <c r="B12" s="62" t="s">
        <v>123</v>
      </c>
      <c r="C12" s="62"/>
      <c r="D12" s="62"/>
      <c r="E12" s="70">
        <f>SUM(E6:E10)</f>
        <v>0</v>
      </c>
      <c r="G12" s="192" t="s">
        <v>147</v>
      </c>
    </row>
    <row r="13" spans="1:18" ht="12.75" customHeight="1">
      <c r="B13" s="64" t="s">
        <v>66</v>
      </c>
      <c r="C13" s="71"/>
      <c r="D13" s="60"/>
      <c r="E13" s="96" t="s">
        <v>125</v>
      </c>
      <c r="G13" s="192"/>
    </row>
    <row r="14" spans="1:18" ht="13.2">
      <c r="C14" s="38"/>
      <c r="D14" s="38"/>
      <c r="E14" s="39"/>
      <c r="G14" s="192"/>
    </row>
    <row r="15" spans="1:18" ht="13.2">
      <c r="C15" s="38"/>
      <c r="D15" s="38"/>
      <c r="E15" s="39"/>
      <c r="G15" s="51"/>
    </row>
    <row r="16" spans="1:18" ht="30.6" customHeight="1">
      <c r="G16" s="192" t="s">
        <v>146</v>
      </c>
      <c r="R16" s="46"/>
    </row>
    <row r="17" spans="2:10" ht="13.2" customHeight="1">
      <c r="B17" s="66" t="s">
        <v>68</v>
      </c>
      <c r="C17" s="67"/>
      <c r="D17" s="67"/>
      <c r="E17" s="68"/>
      <c r="G17" s="192"/>
    </row>
    <row r="18" spans="2:10" ht="30.6" customHeight="1">
      <c r="B18" s="69" t="s">
        <v>56</v>
      </c>
      <c r="C18" s="69" t="s">
        <v>57</v>
      </c>
      <c r="D18" s="69" t="s">
        <v>58</v>
      </c>
      <c r="E18" s="69" t="s">
        <v>59</v>
      </c>
      <c r="G18" s="192" t="s">
        <v>148</v>
      </c>
      <c r="J18" s="55"/>
    </row>
    <row r="19" spans="2:10" ht="12.75" customHeight="1">
      <c r="B19" s="63">
        <v>0</v>
      </c>
      <c r="C19" s="64" t="s">
        <v>60</v>
      </c>
      <c r="D19" s="65">
        <v>20.63</v>
      </c>
      <c r="E19" s="65">
        <f>ROUND(B19*D19,2)</f>
        <v>0</v>
      </c>
      <c r="G19" s="192"/>
    </row>
    <row r="20" spans="2:10">
      <c r="B20" s="63">
        <v>0</v>
      </c>
      <c r="C20" s="64" t="s">
        <v>62</v>
      </c>
      <c r="D20" s="65">
        <v>165</v>
      </c>
      <c r="E20" s="65">
        <f>ROUND(B20*D20,2)</f>
        <v>0</v>
      </c>
      <c r="G20" s="193"/>
    </row>
    <row r="21" spans="2:10">
      <c r="B21" s="63">
        <v>0</v>
      </c>
      <c r="C21" s="64" t="s">
        <v>63</v>
      </c>
      <c r="D21" s="65">
        <v>830</v>
      </c>
      <c r="E21" s="65">
        <f>ROUND(B21*D21,2)</f>
        <v>0</v>
      </c>
      <c r="G21" s="7"/>
    </row>
    <row r="22" spans="2:10">
      <c r="B22" s="63">
        <v>0</v>
      </c>
      <c r="C22" s="64" t="s">
        <v>64</v>
      </c>
      <c r="D22" s="65">
        <v>3600</v>
      </c>
      <c r="E22" s="65">
        <f>ROUND(B22*D22,2)</f>
        <v>0</v>
      </c>
      <c r="G22" s="7"/>
    </row>
    <row r="23" spans="2:10">
      <c r="B23" s="63">
        <v>0</v>
      </c>
      <c r="C23" s="64" t="s">
        <v>65</v>
      </c>
      <c r="D23" s="65">
        <v>360</v>
      </c>
      <c r="E23" s="65">
        <f>ROUND(B23*D23,2)</f>
        <v>0</v>
      </c>
      <c r="G23" s="7"/>
    </row>
    <row r="24" spans="2:10">
      <c r="B24" s="71"/>
      <c r="C24" s="60"/>
      <c r="D24" s="60"/>
      <c r="E24" s="61"/>
      <c r="G24" s="7"/>
    </row>
    <row r="25" spans="2:10" ht="13.2">
      <c r="B25" s="62" t="s">
        <v>124</v>
      </c>
      <c r="C25" s="64"/>
      <c r="D25" s="62"/>
      <c r="E25" s="70">
        <f>SUM(E19:E23)</f>
        <v>0</v>
      </c>
      <c r="G25" s="7"/>
    </row>
    <row r="26" spans="2:10" ht="13.2">
      <c r="B26" s="71" t="s">
        <v>66</v>
      </c>
      <c r="C26" s="72"/>
      <c r="D26" s="72"/>
      <c r="E26" s="96" t="s">
        <v>125</v>
      </c>
      <c r="G26" s="7"/>
    </row>
    <row r="27" spans="2:10" ht="12.75" customHeight="1">
      <c r="G27" s="7"/>
    </row>
    <row r="28" spans="2:10">
      <c r="G28" s="7"/>
    </row>
    <row r="29" spans="2:10">
      <c r="G29" s="7"/>
    </row>
    <row r="30" spans="2:10">
      <c r="G30" s="7"/>
    </row>
    <row r="32" spans="2:10">
      <c r="G32" s="7"/>
    </row>
    <row r="33" spans="7:7">
      <c r="G33" s="7"/>
    </row>
    <row r="34" spans="7:7">
      <c r="G34" s="7"/>
    </row>
    <row r="35" spans="7:7" ht="15.6">
      <c r="G35" s="47"/>
    </row>
    <row r="36" spans="7:7">
      <c r="G36" s="7"/>
    </row>
    <row r="37" spans="7:7">
      <c r="G37" s="7"/>
    </row>
    <row r="38" spans="7:7">
      <c r="G38" s="7"/>
    </row>
    <row r="39" spans="7:7">
      <c r="G39" s="7"/>
    </row>
    <row r="40" spans="7:7">
      <c r="G40" s="7"/>
    </row>
    <row r="41" spans="7:7">
      <c r="G41" s="7"/>
    </row>
    <row r="42" spans="7:7" ht="12.75" customHeight="1">
      <c r="G42" s="7"/>
    </row>
    <row r="43" spans="7:7">
      <c r="G43" s="7"/>
    </row>
    <row r="44" spans="7:7">
      <c r="G44" s="7"/>
    </row>
    <row r="45" spans="7:7" ht="15.6">
      <c r="G45" s="47"/>
    </row>
    <row r="46" spans="7:7">
      <c r="G46" s="7"/>
    </row>
    <row r="47" spans="7:7">
      <c r="G47" s="7"/>
    </row>
    <row r="48" spans="7:7">
      <c r="G48" s="7"/>
    </row>
    <row r="49" spans="7:7">
      <c r="G49" s="7"/>
    </row>
    <row r="50" spans="7:7">
      <c r="G50" s="7"/>
    </row>
    <row r="51" spans="7:7">
      <c r="G51" s="7"/>
    </row>
    <row r="52" spans="7:7">
      <c r="G52" s="7"/>
    </row>
    <row r="53" spans="7:7">
      <c r="G53" s="7"/>
    </row>
    <row r="54" spans="7:7">
      <c r="G54" s="7"/>
    </row>
    <row r="55" spans="7:7">
      <c r="G55" s="7"/>
    </row>
    <row r="56" spans="7:7">
      <c r="G56" s="7"/>
    </row>
    <row r="57" spans="7:7">
      <c r="G57" s="7"/>
    </row>
    <row r="58" spans="7:7">
      <c r="G58" s="7"/>
    </row>
    <row r="59" spans="7:7">
      <c r="G59" s="7"/>
    </row>
    <row r="60" spans="7:7">
      <c r="G60" s="7"/>
    </row>
    <row r="61" spans="7:7">
      <c r="G61" s="7"/>
    </row>
    <row r="62" spans="7:7">
      <c r="G62" s="7"/>
    </row>
    <row r="63" spans="7:7">
      <c r="G63" s="7"/>
    </row>
    <row r="64" spans="7:7">
      <c r="G64" s="7"/>
    </row>
    <row r="65" spans="7:7">
      <c r="G65" s="7"/>
    </row>
    <row r="66" spans="7:7">
      <c r="G66" s="7"/>
    </row>
    <row r="67" spans="7:7" ht="12.75" customHeight="1">
      <c r="G67" s="7"/>
    </row>
    <row r="68" spans="7:7">
      <c r="G68" s="7"/>
    </row>
    <row r="69" spans="7:7" ht="12.75" customHeight="1">
      <c r="G69" s="7"/>
    </row>
    <row r="70" spans="7:7">
      <c r="G70" s="7"/>
    </row>
    <row r="71" spans="7:7">
      <c r="G71" s="7"/>
    </row>
    <row r="72" spans="7:7">
      <c r="G72" s="7"/>
    </row>
    <row r="73" spans="7:7">
      <c r="G73" s="7"/>
    </row>
    <row r="74" spans="7:7">
      <c r="G74" s="7"/>
    </row>
    <row r="75" spans="7:7">
      <c r="G75" s="7"/>
    </row>
    <row r="76" spans="7:7">
      <c r="G76" s="7"/>
    </row>
    <row r="77" spans="7:7">
      <c r="G77" s="7"/>
    </row>
    <row r="78" spans="7:7">
      <c r="G78" s="7"/>
    </row>
    <row r="79" spans="7:7">
      <c r="G79" s="7"/>
    </row>
    <row r="80" spans="7:7" ht="12.75" customHeight="1">
      <c r="G80" s="7"/>
    </row>
    <row r="81" spans="7:7">
      <c r="G81" s="7"/>
    </row>
    <row r="82" spans="7:7">
      <c r="G82" s="7"/>
    </row>
    <row r="83" spans="7:7">
      <c r="G83" s="7"/>
    </row>
    <row r="84" spans="7:7">
      <c r="G84" s="7"/>
    </row>
    <row r="85" spans="7:7">
      <c r="G85" s="7"/>
    </row>
    <row r="86" spans="7:7">
      <c r="G86" s="7"/>
    </row>
    <row r="87" spans="7:7">
      <c r="G87" s="7"/>
    </row>
    <row r="88" spans="7:7">
      <c r="G88" s="7"/>
    </row>
    <row r="89" spans="7:7">
      <c r="G89" s="7"/>
    </row>
    <row r="90" spans="7:7">
      <c r="G90" s="7"/>
    </row>
    <row r="91" spans="7:7">
      <c r="G91" s="7"/>
    </row>
    <row r="92" spans="7:7">
      <c r="G92" s="190"/>
    </row>
    <row r="93" spans="7:7">
      <c r="G93" s="191"/>
    </row>
    <row r="94" spans="7:7" ht="12">
      <c r="G94" s="40"/>
    </row>
    <row r="95" spans="7:7" ht="12">
      <c r="G95" s="40"/>
    </row>
    <row r="96" spans="7:7" ht="12">
      <c r="G96" s="40"/>
    </row>
  </sheetData>
  <mergeCells count="5">
    <mergeCell ref="G92:G93"/>
    <mergeCell ref="G5:G8"/>
    <mergeCell ref="G12:G14"/>
    <mergeCell ref="G16:G17"/>
    <mergeCell ref="G18:G20"/>
  </mergeCells>
  <hyperlinks>
    <hyperlink ref="G9" r:id="rId1" location="anchor-1376" xr:uid="{0D645B6E-50AB-4151-BC32-9961C2FB17F6}"/>
    <hyperlink ref="G3" r:id="rId2" xr:uid="{4E8956C4-3E88-494E-B27D-086833F8D2B1}"/>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602D-9808-4B43-A1F7-EB28CF4CA9A9}">
  <dimension ref="A1:A3"/>
  <sheetViews>
    <sheetView workbookViewId="0">
      <selection sqref="A1:A3"/>
    </sheetView>
  </sheetViews>
  <sheetFormatPr baseColWidth="10" defaultRowHeight="11.4"/>
  <cols>
    <col min="1" max="1" width="15.75" customWidth="1"/>
  </cols>
  <sheetData>
    <row r="1" spans="1:1" ht="12">
      <c r="A1" s="6" t="s">
        <v>25</v>
      </c>
    </row>
    <row r="2" spans="1:1">
      <c r="A2" s="7" t="s">
        <v>23</v>
      </c>
    </row>
    <row r="3" spans="1:1">
      <c r="A3" s="7" t="s">
        <v>24</v>
      </c>
    </row>
  </sheetData>
  <sheetProtection algorithmName="SHA-512" hashValue="yNafdnkeiDVwM2FNWytTF2Q//cM9j9wKMtPciJb6tIHcc5Rsu6idSfpz2LUX1jGYDt8YPLjaKPvyOt0z5z6Slg==" saltValue="FGLVxHFo8mo+RE+SJY5iE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Finanzierungsplan</vt:lpstr>
      <vt:lpstr>Rechner Honoraruntergrenze</vt:lpstr>
      <vt:lpstr>x</vt:lpstr>
      <vt:lpstr>Finanzierungsplan!Druckbereich</vt:lpstr>
    </vt:vector>
  </TitlesOfParts>
  <Company>priv.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dc:creator>
  <cp:lastModifiedBy>Rebekka Mauser (Bureau Ritter)</cp:lastModifiedBy>
  <cp:lastPrinted>2018-03-19T10:23:43Z</cp:lastPrinted>
  <dcterms:created xsi:type="dcterms:W3CDTF">2003-12-07T20:33:26Z</dcterms:created>
  <dcterms:modified xsi:type="dcterms:W3CDTF">2025-05-13T13:45:01Z</dcterms:modified>
</cp:coreProperties>
</file>